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VKudryashov\Desktop\ESG\ESG indictors\2020\3 Квартал\"/>
    </mc:Choice>
  </mc:AlternateContent>
  <bookViews>
    <workbookView xWindow="0" yWindow="420" windowWidth="21576" windowHeight="8052" tabRatio="475" activeTab="4"/>
  </bookViews>
  <sheets>
    <sheet name="MENU" sheetId="4" r:id="rId1"/>
    <sheet name="ENVIRONMENT" sheetId="5" r:id="rId2"/>
    <sheet name="ENERGY EFFICIENCY" sheetId="7" r:id="rId3"/>
    <sheet name="SOCIAL" sheetId="2" r:id="rId4"/>
    <sheet name="GOVERNANCE" sheetId="6" r:id="rId5"/>
  </sheets>
  <externalReferences>
    <externalReference r:id="rId6"/>
    <externalReference r:id="rId7"/>
  </externalReferences>
  <definedNames>
    <definedName name="__123Graph_A" hidden="1">[1]Assum!$B$12:$B$18</definedName>
    <definedName name="__123Graph_B" hidden="1">[1]Assum!$C$12:$C$18</definedName>
    <definedName name="__123Graph_C" hidden="1">[1]Assum!$D$12:$D$18</definedName>
    <definedName name="__123Graph_D" hidden="1">[1]Assum!$E$12:$E$18</definedName>
    <definedName name="__123Graph_E" hidden="1">[1]Assum!$F$12:$F$18</definedName>
    <definedName name="__FDS_HYPERLINK_TOGGLE_STATE__" hidden="1">"ON"</definedName>
    <definedName name="__ww2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3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34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34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xlfn.BAHTTEXT" hidden="1">#NAME?</definedName>
    <definedName name="_Sort" localSheetId="2" hidden="1">#REF!</definedName>
    <definedName name="_Sort" localSheetId="0" hidden="1">#REF!</definedName>
    <definedName name="_Sort" hidden="1">#REF!</definedName>
    <definedName name="_ww2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3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34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34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xlnm._FilterDatabase" localSheetId="2" hidden="1">#REF!</definedName>
    <definedName name="_xlnm._FilterDatabase" localSheetId="0" hidden="1">#REF!</definedName>
    <definedName name="_xlnm._FilterDatabase" hidden="1">#REF!</definedName>
    <definedName name="AAB_Addin5" hidden="1">"AAB_Description for addin 5,Description for addin 5,Description for addin 5,Description for addin 5,Description for addin 5,Description for addin 5"</definedName>
    <definedName name="AAB_GSPPG" hidden="1">"AAB_Goldman Sachs PPG Chart Utilities 1.0g"</definedName>
    <definedName name="abc" localSheetId="0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bc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Cwvu.summary1." hidden="1">[2]Comps!$A$1:$AA$49</definedName>
    <definedName name="ACwvu.summary2." hidden="1">[2]Comps!$A$147:$AA$192</definedName>
    <definedName name="ACwvu.summary3." hidden="1">[2]Comps!$A$103:$AA$146</definedName>
    <definedName name="All" localSheetId="0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ll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nscount" hidden="1">1</definedName>
    <definedName name="as" localSheetId="0" hidden="1">{"FCB_ALL",#N/A,FALSE,"FCB"}</definedName>
    <definedName name="as" hidden="1">{"FCB_ALL",#N/A,FALSE,"FCB"}</definedName>
    <definedName name="awe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awe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bv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bv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n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n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cdvv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cdvv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dddddd" localSheetId="0" hidden="1">{"FCB_ALL",#N/A,FALSE,"FCB";"GREY_ALL",#N/A,FALSE,"GREY"}</definedName>
    <definedName name="dddddd" hidden="1">{"FCB_ALL",#N/A,FALSE,"FCB";"GREY_ALL",#N/A,FALSE,"GREY"}</definedName>
    <definedName name="dfd" localSheetId="0" hidden="1">{"FCB_ALL",#N/A,FALSE,"FCB";"GREY_ALL",#N/A,FALSE,"GREY"}</definedName>
    <definedName name="dfd" hidden="1">{"FCB_ALL",#N/A,FALSE,"FCB";"GREY_ALL",#N/A,FALSE,"GREY"}</definedName>
    <definedName name="dfdas" localSheetId="0" hidden="1">{"FCB_ALL",#N/A,FALSE,"FCB";"GREY_ALL",#N/A,FALSE,"GREY"}</definedName>
    <definedName name="dfdas" hidden="1">{"FCB_ALL",#N/A,FALSE,"FCB";"GREY_ALL",#N/A,FALSE,"GREY"}</definedName>
    <definedName name="dfdfd" localSheetId="0" hidden="1">{"FCB_ALL",#N/A,FALSE,"FCB";"GREY_ALL",#N/A,FALSE,"GREY"}</definedName>
    <definedName name="dfdfd" hidden="1">{"FCB_ALL",#N/A,FALSE,"FCB";"GREY_ALL",#N/A,FALSE,"GREY"}</definedName>
    <definedName name="dfdfdfd" localSheetId="0" hidden="1">{"FCB_ALL",#N/A,FALSE,"FCB"}</definedName>
    <definedName name="dfdfdfd" hidden="1">{"FCB_ALL",#N/A,FALSE,"FCB"}</definedName>
    <definedName name="draka" localSheetId="0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draka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" localSheetId="0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ds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s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w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w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rref" localSheetId="0" hidden="1">{#N/A,#N/A,FALSE,"Italy";#N/A,#N/A,FALSE,"Aperol Italy";#N/A,#N/A,FALSE,"Aperol Soda Italy";#N/A,#N/A,FALSE,"Spumanti";#N/A,#N/A,FALSE,"Barbieri Liqueur Italy";#N/A,#N/A,FALSE,"Others Italy"}</definedName>
    <definedName name="erref" hidden="1">{#N/A,#N/A,FALSE,"Italy";#N/A,#N/A,FALSE,"Aperol Italy";#N/A,#N/A,FALSE,"Aperol Soda Italy";#N/A,#N/A,FALSE,"Spumanti";#N/A,#N/A,FALSE,"Barbieri Liqueur Italy";#N/A,#N/A,FALSE,"Others Italy"}</definedName>
    <definedName name="EV__LASTREFTIME__" hidden="1">39721.7266087963</definedName>
    <definedName name="HTML_Control" localSheetId="0" hidden="1">{"'КУЛАКОВ Ю.В.'!$A$1:$AP$78"}</definedName>
    <definedName name="HTML_Control" hidden="1">{"'КУЛАКОВ Ю.В.'!$A$1:$AP$78"}</definedName>
    <definedName name="HTML_Description" hidden="1">""</definedName>
    <definedName name="HTML_Email" hidden="1">""</definedName>
    <definedName name="HTML_Header" hidden="1">"КУЛАКОВ Ю.В."</definedName>
    <definedName name="HTML_LastUpdate" hidden="1">"23.02.98"</definedName>
    <definedName name="HTML_LineAfter" hidden="1">TRUE</definedName>
    <definedName name="HTML_LineBefore" hidden="1">TRUE</definedName>
    <definedName name="HTML_Name" hidden="1">"Сысолетин Леонид Борисович"</definedName>
    <definedName name="HTML_OBDlg2" hidden="1">TRUE</definedName>
    <definedName name="HTML_OBDlg4" hidden="1">TRUE</definedName>
    <definedName name="HTML_OS" hidden="1">0</definedName>
    <definedName name="HTML_PathFile" hidden="1">"C:\MyHTML.htm"</definedName>
    <definedName name="HTML_Title" hidden="1">"БЮДЖЕТ_0398изм11"</definedName>
    <definedName name="iuy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iuy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lkjlklkjlkjlkj" localSheetId="0" hidden="1">{"page1",#N/A,TRUE,"CSC";"page2",#N/A,TRUE,"CSC"}</definedName>
    <definedName name="lkjlklkjlkjlkj" hidden="1">{"page1",#N/A,TRUE,"CSC";"page2",#N/A,TRUE,"CSC"}</definedName>
    <definedName name="ll" localSheetId="0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ll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mrn.sve44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44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rka5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rka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New" localSheetId="0" hidden="1">{"CSC_1",#N/A,FALSE,"CSC Outputs";"CSC_2",#N/A,FALSE,"CSC Outputs"}</definedName>
    <definedName name="New" hidden="1">{"CSC_1",#N/A,FALSE,"CSC Outputs";"CSC_2",#N/A,FALSE,"CSC Outputs"}</definedName>
    <definedName name="Print_CSC_Report_3" localSheetId="0" hidden="1">{"CSC_1",#N/A,FALSE,"CSC Outputs";"CSC_2",#N/A,FALSE,"CSC Outputs"}</definedName>
    <definedName name="Print_CSC_Report_3" hidden="1">{"CSC_1",#N/A,FALSE,"CSC Outputs";"CSC_2",#N/A,FALSE,"CSC Outputs"}</definedName>
    <definedName name="PrintBuyer" localSheetId="0" hidden="1">{#N/A,"DR",FALSE,"increm pf";#N/A,"MAMSI",FALSE,"increm pf";#N/A,"MAXI",FALSE,"increm pf";#N/A,"PCAM",FALSE,"increm pf";#N/A,"PHSV",FALSE,"increm pf";#N/A,"SIE",FALSE,"increm pf"}</definedName>
    <definedName name="PrintBuyer" hidden="1">{#N/A,"DR",FALSE,"increm pf";#N/A,"MAMSI",FALSE,"increm pf";#N/A,"MAXI",FALSE,"increm pf";#N/A,"PCAM",FALSE,"increm pf";#N/A,"PHSV",FALSE,"increm pf";#N/A,"SIE",FALSE,"increm pf"}</definedName>
    <definedName name="rename_of_wrn.CSC" localSheetId="0" hidden="1">{"page1",#N/A,TRUE,"CSC";"page2",#N/A,TRUE,"CSC"}</definedName>
    <definedName name="rename_of_wrn.CSC" hidden="1">{"page1",#N/A,TRUE,"CSC";"page2",#N/A,TRUE,"CSC"}</definedName>
    <definedName name="Swvu.summary3." hidden="1">[2]Comps!$A$103:$AA$146</definedName>
    <definedName name="wrn.Alex." localSheetId="0" hidden="1">{#N/A,#N/A,FALSE,"TradeSumm";#N/A,#N/A,FALSE,"StatsSumm"}</definedName>
    <definedName name="wrn.Alex." hidden="1">{#N/A,#N/A,FALSE,"TradeSumm";#N/A,#N/A,FALSE,"StatsSumm"}</definedName>
    <definedName name="wrn.all." localSheetId="0" hidden="1">{"a",#N/A,FALSE,"App DCF";"aa",#N/A,FALSE,"App DCF";"aaa",#N/A,FALSE,"App DCF";"aaaa",#N/A,FALSE,"App DCF";"aaaaa",#N/A,FALSE,"App DCF";"aaaaaa",#N/A,FALSE,"App DCF";"a",#N/A,FALSE,"Coated Eur DCF";"aa",#N/A,FALSE,"Coated Eur DCF";"aaa",#N/A,FALSE,"Coated Eur DCF";"aaaa",#N/A,FALSE,"Coated Eur DCF";"aaaaa",#N/A,FALSE,"Coated Eur DCF";"a",#N/A,FALSE,"Carb Th Eur DCF";"aa",#N/A,FALSE,"Carb Th Eur DCF";"aaa",#N/A,FALSE,"Carb Th Eur DCF";"aaaa",#N/A,FALSE,"Carb Th Eur DCF";"aaaaa",#N/A,FALSE,"Carb Th Eur DCF";"a",#N/A,FALSE,"Fine_Spec Eur DCF";"aa",#N/A,FALSE,"Fine_Spec Eur DCF";"aaa",#N/A,FALSE,"Fine_Spec Eur DCF";"aaaa",#N/A,FALSE,"Fine_Spec Eur DCF";"aaaaa",#N/A,FALSE,"Fine_Spec Eur DCF";"a",#N/A,FALSE,"Merchanting";"aa",#N/A,FALSE,"Merchanting";"aaa",#N/A,FALSE,"Merchanting";"aaaa",#N/A,FALSE,"Merchanting";"aaaaa",#N/A,FALSE,"Merchanting";"a",#N/A,FALSE,"Total";"aa",#N/A,FALSE,"Total";"aaa",#N/A,FALSE,"Total";"aaaa",#N/A,FALSE,"Total";"aaaaa",#N/A,FALSE,"Total"}</definedName>
    <definedName name="wrn.all." hidden="1">{"a",#N/A,FALSE,"App DCF";"aa",#N/A,FALSE,"App DCF";"aaa",#N/A,FALSE,"App DCF";"aaaa",#N/A,FALSE,"App DCF";"aaaaa",#N/A,FALSE,"App DCF";"aaaaaa",#N/A,FALSE,"App DCF";"a",#N/A,FALSE,"Coated Eur DCF";"aa",#N/A,FALSE,"Coated Eur DCF";"aaa",#N/A,FALSE,"Coated Eur DCF";"aaaa",#N/A,FALSE,"Coated Eur DCF";"aaaaa",#N/A,FALSE,"Coated Eur DCF";"a",#N/A,FALSE,"Carb Th Eur DCF";"aa",#N/A,FALSE,"Carb Th Eur DCF";"aaa",#N/A,FALSE,"Carb Th Eur DCF";"aaaa",#N/A,FALSE,"Carb Th Eur DCF";"aaaaa",#N/A,FALSE,"Carb Th Eur DCF";"a",#N/A,FALSE,"Fine_Spec Eur DCF";"aa",#N/A,FALSE,"Fine_Spec Eur DCF";"aaa",#N/A,FALSE,"Fine_Spec Eur DCF";"aaaa",#N/A,FALSE,"Fine_Spec Eur DCF";"aaaaa",#N/A,FALSE,"Fine_Spec Eur DCF";"a",#N/A,FALSE,"Merchanting";"aa",#N/A,FALSE,"Merchanting";"aaa",#N/A,FALSE,"Merchanting";"aaaa",#N/A,FALSE,"Merchanting";"aaaaa",#N/A,FALSE,"Merchanting";"a",#N/A,FALSE,"Total";"aa",#N/A,FALSE,"Total";"aaa",#N/A,FALSE,"Total";"aaaa",#N/A,FALSE,"Total";"aaaaa",#N/A,FALSE,"Total"}</definedName>
    <definedName name="wrn.Appendix." localSheetId="0" hidden="1">{#N/A,#N/A,TRUE,"Lines";#N/A,#N/A,TRUE,"Stations";#N/A,#N/A,TRUE,"Cap. Expenses";#N/A,#N/A,TRUE,"Land";#N/A,#N/A,TRUE,"Cen Proces Sys";#N/A,#N/A,TRUE,"telecom";#N/A,#N/A,TRUE,"Other"}</definedName>
    <definedName name="wrn.Appendix." hidden="1">{#N/A,#N/A,TRUE,"Lines";#N/A,#N/A,TRUE,"Stations";#N/A,#N/A,TRUE,"Cap. Expenses";#N/A,#N/A,TRUE,"Land";#N/A,#N/A,TRUE,"Cen Proces Sys";#N/A,#N/A,TRUE,"telecom";#N/A,#N/A,TRUE,"Other"}</definedName>
    <definedName name="wrn.Asia." localSheetId="0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ia.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sumptions." localSheetId="0" hidden="1">{"Assumptions",#N/A,FALSE,"Assum"}</definedName>
    <definedName name="wrn.Assumptions." hidden="1">{"Assumptions",#N/A,FALSE,"Assum"}</definedName>
    <definedName name="wrn.CAG." localSheetId="0" hidden="1">{#N/A,#N/A,FALSE,"CAG"}</definedName>
    <definedName name="wrn.CAG." hidden="1">{#N/A,#N/A,FALSE,"CAG"}</definedName>
    <definedName name="wrn.Cider." localSheetId="0" hidden="1">{#N/A,#N/A,FALSE,"Cider Segment";#N/A,#N/A,FALSE,"Bulmers";#N/A,#N/A,FALSE,"Ritz";#N/A,#N/A,FALSE,"Stag";#N/A,#N/A,FALSE,"Cider Others"}</definedName>
    <definedName name="wrn.Cider." hidden="1">{#N/A,#N/A,FALSE,"Cider Segment";#N/A,#N/A,FALSE,"Bulmers";#N/A,#N/A,FALSE,"Ritz";#N/A,#N/A,FALSE,"Stag";#N/A,#N/A,FALSE,"Cider Others"}</definedName>
    <definedName name="wrn.Consolidated._.Set." localSheetId="0" hidden="1">{"Consolidated IS w Ratios",#N/A,FALSE,"Consolidated";"Consolidated CF",#N/A,FALSE,"Consolidated";"Consolidated DCF",#N/A,FALSE,"Consolidated"}</definedName>
    <definedName name="wrn.Consolidated._.Set." hidden="1">{"Consolidated IS w Ratios",#N/A,FALSE,"Consolidated";"Consolidated CF",#N/A,FALSE,"Consolidated";"Consolidated DCF",#N/A,FALSE,"Consolidated"}</definedName>
    <definedName name="wrn.contribution." localSheetId="0" hidden="1">{#N/A,#N/A,FALSE,"Contribution Analysis"}</definedName>
    <definedName name="wrn.contribution." hidden="1">{#N/A,#N/A,FALSE,"Contribution Analysis"}</definedName>
    <definedName name="wrn.Cover." localSheetId="0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over.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PB." localSheetId="0" hidden="1">{#N/A,#N/A,FALSE,"CPB"}</definedName>
    <definedName name="wrn.CPB." hidden="1">{#N/A,#N/A,FALSE,"CPB"}</definedName>
    <definedName name="wrn.Credit._.Summary." localSheetId="0" hidden="1">{#N/A,#N/A,FALSE,"Credit Summary"}</definedName>
    <definedName name="wrn.Credit._.Summary." hidden="1">{#N/A,#N/A,FALSE,"Credit Summary"}</definedName>
    <definedName name="wrn.CSC." localSheetId="0" hidden="1">{"page1",#N/A,TRUE,"CSC";"page2",#N/A,TRUE,"CSC"}</definedName>
    <definedName name="wrn.CSC." hidden="1">{"page1",#N/A,TRUE,"CSC";"page2",#N/A,TRUE,"CSC"}</definedName>
    <definedName name="wrn.CSC2" localSheetId="0" hidden="1">{"page1",#N/A,TRUE,"CSC";"page2",#N/A,TRUE,"CSC"}</definedName>
    <definedName name="wrn.CSC2" hidden="1">{"page1",#N/A,TRUE,"CSC";"page2",#N/A,TRUE,"CSC"}</definedName>
    <definedName name="wrn.csc2." localSheetId="0" hidden="1">{#N/A,#N/A,FALSE,"ORIX CSC"}</definedName>
    <definedName name="wrn.csc2." hidden="1">{#N/A,#N/A,FALSE,"ORIX CSC"}</definedName>
    <definedName name="wrn.dcf." localSheetId="0" hidden="1">{"mgmt forecast",#N/A,FALSE,"Mgmt Forecast";"dcf table",#N/A,FALSE,"Mgmt Forecast";"sensitivity",#N/A,FALSE,"Mgmt Forecast";"table inputs",#N/A,FALSE,"Mgmt Forecast";"calculations",#N/A,FALSE,"Mgmt Forecast"}</definedName>
    <definedName name="wrn.dcf." hidden="1">{"mgmt forecast",#N/A,FALSE,"Mgmt Forecast";"dcf table",#N/A,FALSE,"Mgmt Forecast";"sensitivity",#N/A,FALSE,"Mgmt Forecast";"table inputs",#N/A,FALSE,"Mgmt Forecast";"calculations",#N/A,FALSE,"Mgmt Forecast"}</definedName>
    <definedName name="wrn.Europe." localSheetId="0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_.Base." localSheetId="0" hidden="1">{"Eur Base Top",#N/A,FALSE,"Europe Base";"Eur Base Bottom",#N/A,FALSE,"Europe Base"}</definedName>
    <definedName name="wrn.Europe._.Base." hidden="1">{"Eur Base Top",#N/A,FALSE,"Europe Base";"Eur Base Bottom",#N/A,FALSE,"Europe Base"}</definedName>
    <definedName name="wrn.Europe._.Set." localSheetId="0" hidden="1">{"IS w Ratios",#N/A,FALSE,"Europe";"PF CF Europe",#N/A,FALSE,"Europe";"DCF Eur Matrix",#N/A,FALSE,"Europe"}</definedName>
    <definedName name="wrn.Europe._.Set." hidden="1">{"IS w Ratios",#N/A,FALSE,"Europe";"PF CF Europe",#N/A,FALSE,"Europe";"DCF Eur Matrix",#N/A,FALSE,"Europe"}</definedName>
    <definedName name="wrn.Everything." localSheetId="0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rn.Everything.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rn.Exports." localSheetId="0" hidden="1">{#N/A,#N/A,FALSE,"Exports";#N/A,#N/A,FALSE,"Carolans";#N/A,#N/A,FALSE,"Irish Mist";#N/A,#N/A,FALSE,"Tullamore Dew";#N/A,#N/A,FALSE,"Other Brands Exports";#N/A,#N/A,FALSE,"Frangelico";#N/A,#N/A,FALSE,"Mondoro";#N/A,#N/A,FALSE,"Aperol";#N/A,#N/A,FALSE,"Others Exports"}</definedName>
    <definedName name="wrn.Exports." hidden="1">{#N/A,#N/A,FALSE,"Exports";#N/A,#N/A,FALSE,"Carolans";#N/A,#N/A,FALSE,"Irish Mist";#N/A,#N/A,FALSE,"Tullamore Dew";#N/A,#N/A,FALSE,"Other Brands Exports";#N/A,#N/A,FALSE,"Frangelico";#N/A,#N/A,FALSE,"Mondoro";#N/A,#N/A,FALSE,"Aperol";#N/A,#N/A,FALSE,"Others Exports"}</definedName>
    <definedName name="wrn.Far._.East._.Set." localSheetId="0" hidden="1">{"IS FE with Ratios",#N/A,FALSE,"Far East";"PF CF Far East",#N/A,FALSE,"Far East";"DCF Far East Matrix",#N/A,FALSE,"Far East"}</definedName>
    <definedName name="wrn.Far._.East._.Set." hidden="1">{"IS FE with Ratios",#N/A,FALSE,"Far East";"PF CF Far East",#N/A,FALSE,"Far East";"DCF Far East Matrix",#N/A,FALSE,"Far East"}</definedName>
    <definedName name="wrn.FCB." localSheetId="0" hidden="1">{"FCB_ALL",#N/A,FALSE,"FCB"}</definedName>
    <definedName name="wrn.FCB." hidden="1">{"FCB_ALL",#N/A,FALSE,"FCB"}</definedName>
    <definedName name="wrn.fcb2" localSheetId="0" hidden="1">{"FCB_ALL",#N/A,FALSE,"FCB"}</definedName>
    <definedName name="wrn.fcb2" hidden="1">{"FCB_ALL",#N/A,FALSE,"FCB"}</definedName>
    <definedName name="wrn.FE._.Sensitivity." localSheetId="0" hidden="1">{"Far East Top",#N/A,FALSE,"FE Model";"Far East Mid",#N/A,FALSE,"FE Model";"Far East Base",#N/A,FALSE,"FE Model"}</definedName>
    <definedName name="wrn.FE._.Sensitivity." hidden="1">{"Far East Top",#N/A,FALSE,"FE Model";"Far East Mid",#N/A,FALSE,"FE Model";"Far East Base",#N/A,FALSE,"FE Model"}</definedName>
    <definedName name="wrn.for._.TenneT." localSheetId="0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wrn.for._.TenneT.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wrn.GIS." localSheetId="0" hidden="1">{#N/A,#N/A,FALSE,"GIS"}</definedName>
    <definedName name="wrn.GIS." hidden="1">{#N/A,#N/A,FALSE,"GIS"}</definedName>
    <definedName name="wrn.Historical._.Cost._.PWC." localSheetId="0" hidden="1">{#N/A,#N/A,TRUE,"Cover His PWC";#N/A,#N/A,TRUE,"P&amp;L";#N/A,#N/A,TRUE,"BS";#N/A,#N/A,TRUE,"Depreciation";#N/A,#N/A,TRUE,"GRAPHS";#N/A,#N/A,TRUE,"DCF EBITDA Multiple";#N/A,#N/A,TRUE,"DCF Perpetual Growth"}</definedName>
    <definedName name="wrn.Historical._.Cost._.PWC." hidden="1">{#N/A,#N/A,TRUE,"Cover His PWC";#N/A,#N/A,TRUE,"P&amp;L";#N/A,#N/A,TRUE,"BS";#N/A,#N/A,TRUE,"Depreciation";#N/A,#N/A,TRUE,"GRAPHS";#N/A,#N/A,TRUE,"DCF EBITDA Multiple";#N/A,#N/A,TRUE,"DCF Perpetual Growth"}</definedName>
    <definedName name="wrn.Historical._.Cost._.TenneT." localSheetId="0" hidden="1">{#N/A,#N/A,TRUE,"Cover His T";#N/A,#N/A,TRUE,"P&amp;L";#N/A,#N/A,TRUE,"BS";#N/A,#N/A,TRUE,"Depreciation";#N/A,#N/A,TRUE,"GRAPHS";#N/A,#N/A,TRUE,"DCF EBITDA Multiple";#N/A,#N/A,TRUE,"DCF Perpetual Growth"}</definedName>
    <definedName name="wrn.Historical._.Cost._.TenneT." hidden="1">{#N/A,#N/A,TRUE,"Cover His T";#N/A,#N/A,TRUE,"P&amp;L";#N/A,#N/A,TRUE,"BS";#N/A,#N/A,TRUE,"Depreciation";#N/A,#N/A,TRUE,"GRAPHS";#N/A,#N/A,TRUE,"DCF EBITDA Multiple";#N/A,#N/A,TRUE,"DCF Perpetual Growth"}</definedName>
    <definedName name="wrn.HNZ." localSheetId="0" hidden="1">{#N/A,#N/A,FALSE,"HNZ"}</definedName>
    <definedName name="wrn.HNZ." hidden="1">{#N/A,#N/A,FALSE,"HNZ"}</definedName>
    <definedName name="wrn.Introduction." localSheetId="0" hidden="1">{#N/A,#N/A,TRUE,"Cover";#N/A,#N/A,TRUE,"Valuation Summary";#N/A,#N/A,TRUE,"Valuation Summary (2)";#N/A,#N/A,TRUE,"FCF Summary";#N/A,#N/A,TRUE,"Macro Assumptions";#N/A,#N/A,TRUE,"Tariffs DTe";#N/A,#N/A,TRUE,"Revenues";#N/A,#N/A,TRUE,"System Services";#N/A,#N/A,TRUE,"TPA";#N/A,#N/A,TRUE,"Opex 1";#N/A,#N/A,TRUE,"Opex";#N/A,#N/A,TRUE,"Assumptions";#N/A,#N/A,TRUE,"Capital Expenditures";#N/A,#N/A,TRUE,"WACC_DTe";#N/A,#N/A,TRUE,"WACC";#N/A,#N/A,TRUE,"TComps";#N/A,#N/A,TRUE,"AComps";#N/A,#N/A,TRUE,"ACompsG"}</definedName>
    <definedName name="wrn.Introduction." hidden="1">{#N/A,#N/A,TRUE,"Cover";#N/A,#N/A,TRUE,"Valuation Summary";#N/A,#N/A,TRUE,"Valuation Summary (2)";#N/A,#N/A,TRUE,"FCF Summary";#N/A,#N/A,TRUE,"Macro Assumptions";#N/A,#N/A,TRUE,"Tariffs DTe";#N/A,#N/A,TRUE,"Revenues";#N/A,#N/A,TRUE,"System Services";#N/A,#N/A,TRUE,"TPA";#N/A,#N/A,TRUE,"Opex 1";#N/A,#N/A,TRUE,"Opex";#N/A,#N/A,TRUE,"Assumptions";#N/A,#N/A,TRUE,"Capital Expenditures";#N/A,#N/A,TRUE,"WACC_DTe";#N/A,#N/A,TRUE,"WACC";#N/A,#N/A,TRUE,"TComps";#N/A,#N/A,TRUE,"AComps";#N/A,#N/A,TRUE,"ACompsG"}</definedName>
    <definedName name="wrn.Italy." localSheetId="0" hidden="1">{#N/A,#N/A,FALSE,"Italy";#N/A,#N/A,FALSE,"Aperol Italy";#N/A,#N/A,FALSE,"Aperol Soda Italy";#N/A,#N/A,FALSE,"Spumanti";#N/A,#N/A,FALSE,"Barbieri Liqueur Italy";#N/A,#N/A,FALSE,"Others Italy"}</definedName>
    <definedName name="wrn.Italy." hidden="1">{#N/A,#N/A,FALSE,"Italy";#N/A,#N/A,FALSE,"Aperol Italy";#N/A,#N/A,FALSE,"Aperol Soda Italy";#N/A,#N/A,FALSE,"Spumanti";#N/A,#N/A,FALSE,"Barbieri Liqueur Italy";#N/A,#N/A,FALSE,"Others Italy"}</definedName>
    <definedName name="wrn.JG._.FE._.Dollar." localSheetId="0" hidden="1">{"JG FE Top",#N/A,FALSE,"JG FE $";"JG FE Bottom",#N/A,FALSE,"JG FE $"}</definedName>
    <definedName name="wrn.JG._.FE._.Dollar." hidden="1">{"JG FE Top",#N/A,FALSE,"JG FE $";"JG FE Bottom",#N/A,FALSE,"JG FE $"}</definedName>
    <definedName name="wrn.JG._.FE._.Yen." localSheetId="0" hidden="1">{"JG FE Top",#N/A,FALSE,"JG FE ¥";"JG FE Bottom",#N/A,FALSE,"JG FE ¥"}</definedName>
    <definedName name="wrn.JG._.FE._.Yen." hidden="1">{"JG FE Top",#N/A,FALSE,"JG FE ¥";"JG FE Bottom",#N/A,FALSE,"JG FE ¥"}</definedName>
    <definedName name="wrn.K." localSheetId="0" hidden="1">{#N/A,#N/A,FALSE,"K"}</definedName>
    <definedName name="wrn.K." hidden="1">{#N/A,#N/A,FALSE,"K"}</definedName>
    <definedName name="wrn.lbo." localSheetId="0" hidden="1">{"a",#N/A,FALSE,"LBO - 100%, No Sales";"aa",#N/A,FALSE,"LBO - 100%, No Sales";"aaa",#N/A,FALSE,"LBO - 100%, No Sales";"aaaa",#N/A,FALSE,"LBO - 100%, No Sales";"aaaaa",#N/A,FALSE,"LBO - 100%, No Sales";"aaaaaa",#N/A,FALSE,"LBO - 100%, No Sales";"aaaaaaa",#N/A,FALSE,"LBO - 100%, No Sales";"aaaaaaaa",#N/A,FALSE,"LBO - 100%, No Sales"}</definedName>
    <definedName name="wrn.lbo." hidden="1">{"a",#N/A,FALSE,"LBO - 100%, No Sales";"aa",#N/A,FALSE,"LBO - 100%, No Sales";"aaa",#N/A,FALSE,"LBO - 100%, No Sales";"aaaa",#N/A,FALSE,"LBO - 100%, No Sales";"aaaaa",#N/A,FALSE,"LBO - 100%, No Sales";"aaaaaa",#N/A,FALSE,"LBO - 100%, No Sales";"aaaaaaa",#N/A,FALSE,"LBO - 100%, No Sales";"aaaaaaaa",#N/A,FALSE,"LBO - 100%, No Sales"}</definedName>
    <definedName name="wrn.lbo2." localSheetId="0" hidden="1">{"a",#N/A,FALSE,"LBO - 100%, Sells FSM in 1999";"aa",#N/A,FALSE,"LBO - 100%, Sells FSM in 1999";"aaa",#N/A,FALSE,"LBO - 100%, Sells FSM in 1999";"aaaa",#N/A,FALSE,"LBO - 100%, Sells FSM in 1999";"aaaaa",#N/A,FALSE,"LBO - 100%, Sells FSM in 1999";"aaaaaa",#N/A,FALSE,"LBO - 100%, Sells FSM in 1999";"aaaaaaa",#N/A,FALSE,"LBO - 100%, Sells FSM in 1999"}</definedName>
    <definedName name="wrn.lbo2." hidden="1">{"a",#N/A,FALSE,"LBO - 100%, Sells FSM in 1999";"aa",#N/A,FALSE,"LBO - 100%, Sells FSM in 1999";"aaa",#N/A,FALSE,"LBO - 100%, Sells FSM in 1999";"aaaa",#N/A,FALSE,"LBO - 100%, Sells FSM in 1999";"aaaaa",#N/A,FALSE,"LBO - 100%, Sells FSM in 1999";"aaaaaa",#N/A,FALSE,"LBO - 100%, Sells FSM in 1999";"aaaaaaa",#N/A,FALSE,"LBO - 100%, Sells FSM in 1999"}</definedName>
    <definedName name="wrn.lbo3." localSheetId="0" hidden="1">{"a",#N/A,FALSE,"LBO - 100%, Sell C,CT 98......";"aa",#N/A,FALSE,"LBO - 100%, Sell C,CT 98......";"aaa",#N/A,FALSE,"LBO - 100%, Sell C,CT 98......";"aaaa",#N/A,FALSE,"LBO - 100%, Sell C,CT 98......";"aaaaa",#N/A,FALSE,"LBO - 100%, Sell C,CT 98......";"aaaaaa",#N/A,FALSE,"LBO - 100%, Sell C,CT 98......"}</definedName>
    <definedName name="wrn.lbo3." hidden="1">{"a",#N/A,FALSE,"LBO - 100%, Sell C,CT 98......";"aa",#N/A,FALSE,"LBO - 100%, Sell C,CT 98......";"aaa",#N/A,FALSE,"LBO - 100%, Sell C,CT 98......";"aaaa",#N/A,FALSE,"LBO - 100%, Sell C,CT 98......";"aaaaa",#N/A,FALSE,"LBO - 100%, Sell C,CT 98......";"aaaaaa",#N/A,FALSE,"LBO - 100%, Sell C,CT 98......"}</definedName>
    <definedName name="wrn.May._.21." localSheetId="0" hidden="1">{#N/A,#N/A,TRUE,"Cover";#N/A,#N/A,TRUE,"Tariffs DTe";#N/A,#N/A,TRUE,"Revenues";#N/A,#N/A,TRUE,"Operating Expenses";#N/A,#N/A,TRUE,"Energy &amp; Power";#N/A,#N/A,TRUE,"Grid Costs";#N/A,#N/A,TRUE,"TPA";#N/A,#N/A,TRUE,"Maintenance";#N/A,#N/A,TRUE,"Personnel";#N/A,#N/A,TRUE,"General";#N/A,#N/A,TRUE,"P&amp;L";#N/A,#N/A,TRUE,"Capital Expenditures";#N/A,#N/A,TRUE,"Assumptions";#N/A,#N/A,TRUE,"Working Capital";#N/A,#N/A,TRUE,"Cash";#N/A,#N/A,TRUE,"Equity";#N/A,#N/A,TRUE,"Deferred Income";#N/A,#N/A,TRUE,"Provisions";#N/A,#N/A,TRUE,"Debt";#N/A,#N/A,TRUE,"BS";#N/A,#N/A,TRUE,"WACC_DTe"}</definedName>
    <definedName name="wrn.May._.21." hidden="1">{#N/A,#N/A,TRUE,"Cover";#N/A,#N/A,TRUE,"Tariffs DTe";#N/A,#N/A,TRUE,"Revenues";#N/A,#N/A,TRUE,"Operating Expenses";#N/A,#N/A,TRUE,"Energy &amp; Power";#N/A,#N/A,TRUE,"Grid Costs";#N/A,#N/A,TRUE,"TPA";#N/A,#N/A,TRUE,"Maintenance";#N/A,#N/A,TRUE,"Personnel";#N/A,#N/A,TRUE,"General";#N/A,#N/A,TRUE,"P&amp;L";#N/A,#N/A,TRUE,"Capital Expenditures";#N/A,#N/A,TRUE,"Assumptions";#N/A,#N/A,TRUE,"Working Capital";#N/A,#N/A,TRUE,"Cash";#N/A,#N/A,TRUE,"Equity";#N/A,#N/A,TRUE,"Deferred Income";#N/A,#N/A,TRUE,"Provisions";#N/A,#N/A,TRUE,"Debt";#N/A,#N/A,TRUE,"BS";#N/A,#N/A,TRUE,"WACC_DTe"}</definedName>
    <definedName name="wrn.MCCRK." localSheetId="0" hidden="1">{#N/A,#N/A,FALSE,"MCCRK"}</definedName>
    <definedName name="wrn.MCCRK." hidden="1">{#N/A,#N/A,FALSE,"MCCRK"}</definedName>
    <definedName name="wrn.MERGER._.PLANS." localSheetId="0" hidden="1">{"Assumptions1",#N/A,FALSE,"Assumptions";"MergerPlans1","20yearamort",FALSE,"MergerPlans";"MergerPlans1","40yearamort",FALSE,"MergerPlans";"MergerPlans2",#N/A,FALSE,"MergerPlans";"inputs",#N/A,FALSE,"MergerPlans"}</definedName>
    <definedName name="wrn.MERGER._.PLANS." hidden="1">{"Assumptions1",#N/A,FALSE,"Assumptions";"MergerPlans1","20yearamort",FALSE,"MergerPlans";"MergerPlans1","40yearamort",FALSE,"MergerPlans";"MergerPlans2",#N/A,FALSE,"MergerPlans";"inputs",#N/A,FALSE,"MergerPlans"}</definedName>
    <definedName name="wrn.NA." localSheetId="0" hidden="1">{#N/A,#N/A,FALSE,"NA"}</definedName>
    <definedName name="wrn.NA." hidden="1">{#N/A,#N/A,FALSE,"NA"}</definedName>
    <definedName name="wrn.NA._.Model._.T._.and._.B." localSheetId="0" hidden="1">{"NA Top",#N/A,FALSE,"NA Model";"NA Bottom",#N/A,FALSE,"NA Model"}</definedName>
    <definedName name="wrn.NA._.Model._.T._.and._.B." hidden="1">{"NA Top",#N/A,FALSE,"NA Model";"NA Bottom",#N/A,FALSE,"NA Model"}</definedName>
    <definedName name="wrn.NA_ULV._.Tand._.B." localSheetId="0" hidden="1">{"NA Top",#N/A,FALSE,"NA-ULV";"NA Bottom",#N/A,FALSE,"NA-ULV"}</definedName>
    <definedName name="wrn.NA_ULV._.Tand._.B." hidden="1">{"NA Top",#N/A,FALSE,"NA-ULV";"NA Bottom",#N/A,FALSE,"NA-ULV"}</definedName>
    <definedName name="wrn.North._.America._.Set." localSheetId="0" hidden="1">{"NA Is w Ratios",#N/A,FALSE,"North America";"PF CFlow NA",#N/A,FALSE,"North America";"NA DCF Matrix",#N/A,FALSE,"North America"}</definedName>
    <definedName name="wrn.North._.America._.Set." hidden="1">{"NA Is w Ratios",#N/A,FALSE,"North America";"PF CFlow NA",#N/A,FALSE,"North America";"NA DCF Matrix",#N/A,FALSE,"North America"}</definedName>
    <definedName name="wrn.Output." localSheetId="0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Output.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print." localSheetId="0" hidden="1">{#N/A,#N/A,FALSE,"FCF Corporate Services";#N/A,#N/A,FALSE,"FCF Assum Corporate Services";#N/A,#N/A,FALSE,"DCF Corp. Services Sensitivity";#N/A,#N/A,FALSE,"AVP Corporate Services";"FCF in percent",#N/A,FALSE,"FCF Corporate Services"}</definedName>
    <definedName name="wrn.print." hidden="1">{#N/A,#N/A,FALSE,"FCF Corporate Services";#N/A,#N/A,FALSE,"FCF Assum Corporate Services";#N/A,#N/A,FALSE,"DCF Corp. Services Sensitivity";#N/A,#N/A,FALSE,"AVP Corporate Services";"FCF in percent",#N/A,FALSE,"FCF Corporate Services"}</definedName>
    <definedName name="wrn.Print._.Europe._.TandB." localSheetId="0" hidden="1">{"Print Top",#N/A,FALSE,"Europe Model";"Print Bottom",#N/A,FALSE,"Europe Model"}</definedName>
    <definedName name="wrn.Print._.Europe._.TandB." hidden="1">{"Print Top",#N/A,FALSE,"Europe Model";"Print Bottom",#N/A,FALSE,"Europe Model"}</definedName>
    <definedName name="wrn.Print._.FE._.T._.and._.B." localSheetId="0" hidden="1">{"Far East Top",#N/A,FALSE,"FE Model";"Far East Bottom",#N/A,FALSE,"FE Model"}</definedName>
    <definedName name="wrn.Print._.FE._.T._.and._.B." hidden="1">{"Far East Top",#N/A,FALSE,"FE Model";"Far East Bottom",#N/A,FALSE,"FE Model"}</definedName>
    <definedName name="wrn.print._.graphs." localSheetId="0" hidden="1">{"cap_structure",#N/A,FALSE,"Graph-Mkt Cap";"price",#N/A,FALSE,"Graph-Price";"ebit",#N/A,FALSE,"Graph-EBITDA";"ebitda",#N/A,FALSE,"Graph-EBITDA"}</definedName>
    <definedName name="wrn.print._.graphs." hidden="1">{"cap_structure",#N/A,FALSE,"Graph-Mkt Cap";"price",#N/A,FALSE,"Graph-Price";"ebit",#N/A,FALSE,"Graph-EBITDA";"ebitda",#N/A,FALSE,"Graph-EBITDA"}</definedName>
    <definedName name="wrn.print._.raw._.data._.entry." localSheetId="0" hidden="1">{"inputs raw data",#N/A,TRUE,"INPUT"}</definedName>
    <definedName name="wrn.print._.raw._.data._.entry." hidden="1">{"inputs raw data",#N/A,TRUE,"INPUT"}</definedName>
    <definedName name="wrn.print._.standalone." localSheetId="0" hidden="1">{"standalone1",#N/A,FALSE,"DCFBase";"standalone2",#N/A,FALSE,"DCFBase"}</definedName>
    <definedName name="wrn.print._.standalone." hidden="1">{"standalone1",#N/A,FALSE,"DCFBase";"standalone2",#N/A,FALSE,"DCFBase"}</definedName>
    <definedName name="wrn.print._.summary._.sheets." localSheetId="0" hidden="1">{"summary1",#N/A,TRUE,"Comps";"summary2",#N/A,TRUE,"Comps";"summary3",#N/A,TRUE,"Comps"}</definedName>
    <definedName name="wrn.print._.summary._.sheets." hidden="1">{"summary1",#N/A,TRUE,"Comps";"summary2",#N/A,TRUE,"Comps";"summary3",#N/A,TRUE,"Comps"}</definedName>
    <definedName name="wrn.print._.summary._.sheets.2" localSheetId="0" hidden="1">{"summary1",#N/A,TRUE,"Comps";"summary2",#N/A,TRUE,"Comps";"summary3",#N/A,TRUE,"Comps"}</definedName>
    <definedName name="wrn.print._.summary._.sheets.2" hidden="1">{"summary1",#N/A,TRUE,"Comps";"summary2",#N/A,TRUE,"Comps";"summary3",#N/A,TRUE,"Comps"}</definedName>
    <definedName name="wrn.Print_Buyer." localSheetId="0" hidden="1">{#N/A,"DR",FALSE,"increm pf";#N/A,"MAMSI",FALSE,"increm pf";#N/A,"MAXI",FALSE,"increm pf";#N/A,"PCAM",FALSE,"increm pf";#N/A,"PHSV",FALSE,"increm pf";#N/A,"SIE",FALSE,"increm pf"}</definedName>
    <definedName name="wrn.Print_Buyer." hidden="1">{#N/A,"DR",FALSE,"increm pf";#N/A,"MAMSI",FALSE,"increm pf";#N/A,"MAXI",FALSE,"increm pf";#N/A,"PCAM",FALSE,"increm pf";#N/A,"PHSV",FALSE,"increm pf";#N/A,"SIE",FALSE,"increm pf"}</definedName>
    <definedName name="wrn.Print_CSC." localSheetId="0" hidden="1">{"CSC_1",#N/A,FALSE,"CSC Outputs";"CSC_2",#N/A,FALSE,"CSC Outputs"}</definedName>
    <definedName name="wrn.Print_CSC." hidden="1">{"CSC_1",#N/A,FALSE,"CSC Outputs";"CSC_2",#N/A,FALSE,"CSC Outputs"}</definedName>
    <definedName name="wrn.Print_CSC2" localSheetId="0" hidden="1">{"CSC_1",#N/A,FALSE,"CSC Outputs";"CSC_2",#N/A,FALSE,"CSC Outputs"}</definedName>
    <definedName name="wrn.Print_CSC2" hidden="1">{"CSC_1",#N/A,FALSE,"CSC Outputs";"CSC_2",#N/A,FALSE,"CSC Outputs"}</definedName>
    <definedName name="wrn.Print_Target." localSheetId="0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_Target.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all." localSheetId="0" hidden="1">{"projections1",#N/A,FALSE,"projections";"dcf2",#N/A,FALSE,"dcf";"dcf no profit sharing",#N/A,FALSE,"dcf no profit sharing";"avp1",#N/A,FALSE,"avp"}</definedName>
    <definedName name="wrn.printall." hidden="1">{"projections1",#N/A,FALSE,"projections";"dcf2",#N/A,FALSE,"dcf";"dcf no profit sharing",#N/A,FALSE,"dcf no profit sharing";"avp1",#N/A,FALSE,"avp"}</definedName>
    <definedName name="wrn.Replacement._.Cost." localSheetId="0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rn.Replacement._.Cost.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rn.SKSCS1." localSheetId="0" hidden="1">{#N/A,#N/A,FALSE,"Antony Financials";#N/A,#N/A,FALSE,"Cowboy Financials";#N/A,#N/A,FALSE,"Combined";#N/A,#N/A,FALSE,"Valuematrix";#N/A,#N/A,FALSE,"DCFAntony";#N/A,#N/A,FALSE,"DCFCowboy";#N/A,#N/A,FALSE,"DCFCombined"}</definedName>
    <definedName name="wrn.SKSCS1." hidden="1">{#N/A,#N/A,FALSE,"Antony Financials";#N/A,#N/A,FALSE,"Cowboy Financials";#N/A,#N/A,FALSE,"Combined";#N/A,#N/A,FALSE,"Valuematrix";#N/A,#N/A,FALSE,"DCFAntony";#N/A,#N/A,FALSE,"DCFCowboy";#N/A,#N/A,FALSE,"DCFCombined"}</definedName>
    <definedName name="wrn.Soft._.Drinks." localSheetId="0" hidden="1">{#N/A,#N/A,FALSE,"Soft Drinks";#N/A,#N/A,FALSE,"Club Soft";#N/A,#N/A,FALSE,"Club Mixers";#N/A,#N/A,FALSE,"TK";#N/A,#N/A,FALSE,"Cidona";#N/A,#N/A,FALSE,"Britvic";#N/A,#N/A,FALSE,"Mi Wadi";#N/A,#N/A,FALSE,"Pepsi";#N/A,#N/A,FALSE,"7UP";#N/A,#N/A,FALSE,"Schweppes";#N/A,#N/A,FALSE,"Wholesale";#N/A,#N/A,FALSE,"Other Soft Drinks"}</definedName>
    <definedName name="wrn.Soft._.Drinks." hidden="1">{#N/A,#N/A,FALSE,"Soft Drinks";#N/A,#N/A,FALSE,"Club Soft";#N/A,#N/A,FALSE,"Club Mixers";#N/A,#N/A,FALSE,"TK";#N/A,#N/A,FALSE,"Cidona";#N/A,#N/A,FALSE,"Britvic";#N/A,#N/A,FALSE,"Mi Wadi";#N/A,#N/A,FALSE,"Pepsi";#N/A,#N/A,FALSE,"7UP";#N/A,#N/A,FALSE,"Schweppes";#N/A,#N/A,FALSE,"Wholesale";#N/A,#N/A,FALSE,"Other Soft Drinks"}</definedName>
    <definedName name="wrn.STAND_ALONE_BOTH." localSheetId="0" hidden="1">{"FCB_ALL",#N/A,FALSE,"FCB";"GREY_ALL",#N/A,FALSE,"GREY"}</definedName>
    <definedName name="wrn.STAND_ALONE_BOTH." hidden="1">{"FCB_ALL",#N/A,FALSE,"FCB";"GREY_ALL",#N/A,FALSE,"GREY"}</definedName>
    <definedName name="wrn.Standard." localSheetId="0" hidden="1">{"Financials",#N/A,FALSE,"Financials";"AVP",#N/A,FALSE,"AVP";"DCF",#N/A,FALSE,"DCF";"CSC",#N/A,FALSE,"CSC";"Deal_Comp",#N/A,FALSE,"DealComp"}</definedName>
    <definedName name="wrn.Standard." hidden="1">{"Financials",#N/A,FALSE,"Financials";"AVP",#N/A,FALSE,"AVP";"DCF",#N/A,FALSE,"DCF";"CSC",#N/A,FALSE,"CSC";"Deal_Comp",#N/A,FALSE,"DealComp"}</definedName>
    <definedName name="wrn.SummaryPgs." localSheetId="0" hidden="1">{#N/A,#N/A,FALSE,"CreditStat";#N/A,#N/A,FALSE,"SPbrkup";#N/A,#N/A,FALSE,"MerSPsyn";#N/A,#N/A,FALSE,"MerSPwKCsyn";#N/A,#N/A,FALSE,"MerSPwKCsyn (2)";#N/A,#N/A,FALSE,"CreditStat (2)"}</definedName>
    <definedName name="wrn.SummaryPgs." hidden="1">{#N/A,#N/A,FALSE,"CreditStat";#N/A,#N/A,FALSE,"SPbrkup";#N/A,#N/A,FALSE,"MerSPsyn";#N/A,#N/A,FALSE,"MerSPwKCsyn";#N/A,#N/A,FALSE,"MerSPwKCsyn (2)";#N/A,#N/A,FALSE,"CreditStat (2)"}</definedName>
    <definedName name="wrn.SVERKA.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.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17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1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22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2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345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34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7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test." localSheetId="0" hidden="1">{"test2",#N/A,TRUE,"Prices"}</definedName>
    <definedName name="wrn.test." hidden="1">{"test2",#N/A,TRUE,"Prices"}</definedName>
    <definedName name="wrn.Trading._.Summary." localSheetId="0" hidden="1">{#N/A,#N/A,FALSE,"Trading Summary"}</definedName>
    <definedName name="wrn.Trading._.Summary." hidden="1">{#N/A,#N/A,FALSE,"Trading Summary"}</definedName>
    <definedName name="wrn.Tweety." localSheetId="0" hidden="1">{#N/A,#N/A,FALSE,"A&amp;E";#N/A,#N/A,FALSE,"HighTop";#N/A,#N/A,FALSE,"JG";#N/A,#N/A,FALSE,"RI";#N/A,#N/A,FALSE,"woHT";#N/A,#N/A,FALSE,"woHT&amp;JG"}</definedName>
    <definedName name="wrn.Tweety." hidden="1">{#N/A,#N/A,FALSE,"A&amp;E";#N/A,#N/A,FALSE,"HighTop";#N/A,#N/A,FALSE,"JG";#N/A,#N/A,FALSE,"RI";#N/A,#N/A,FALSE,"woHT";#N/A,#N/A,FALSE,"woHT&amp;JG"}</definedName>
    <definedName name="wrn.Upper._.Case." localSheetId="0" hidden="1">{"presentation","onepurchase",FALSE,"Inputs and Calculations";"presentation","onepool",FALSE,"Inputs and Calculations";"presentation","twopool",FALSE,"Inputs and Calculations";"presentation","twopurchase",FALSE,"Inputs and Calculations";"presentation","threepurchase",FALSE,"Inputs and Calculations";"presentation","threepool",FALSE,"Inputs and Calculations";"presentation","fourpool",FALSE,"Inputs and Calculations";"presentation","fourpurchase",FALSE,"Inputs and Calculations";"presentation","fivepool",FALSE,"Inputs and Calculations";"presentation","fivepurchase",FALSE,"Inputs and Calculations";"presentation","sixpool",FALSE,"Inputs and Calculations";"presentation","sixpurchase",FALSE,"Inputs and Calculations";"presentation","sevenpool",FALSE,"Inputs and Calculations";"presentation","sevenpurchase",FALSE,"Inputs and Calculations";"presentation","eightpool",FALSE,"Inputs and Calculations";"presentation","eightpurchase",FALSE,"Inputs and Calculations";"presentation","ninepool",FALSE,"Inputs and Calculations";"presentation","ninepurchase",FALSE,"Inputs and Calculations";"presentation","tenpool",FALSE,"Inputs and Calculations";"presentation","tenpurchase",FALSE,"Inputs and Calculations"}</definedName>
    <definedName name="wrn.Upper._.Case." hidden="1">{"presentation","onepurchase",FALSE,"Inputs and Calculations";"presentation","onepool",FALSE,"Inputs and Calculations";"presentation","twopool",FALSE,"Inputs and Calculations";"presentation","twopurchase",FALSE,"Inputs and Calculations";"presentation","threepurchase",FALSE,"Inputs and Calculations";"presentation","threepool",FALSE,"Inputs and Calculations";"presentation","fourpool",FALSE,"Inputs and Calculations";"presentation","fourpurchase",FALSE,"Inputs and Calculations";"presentation","fivepool",FALSE,"Inputs and Calculations";"presentation","fivepurchase",FALSE,"Inputs and Calculations";"presentation","sixpool",FALSE,"Inputs and Calculations";"presentation","sixpurchase",FALSE,"Inputs and Calculations";"presentation","sevenpool",FALSE,"Inputs and Calculations";"presentation","sevenpurchase",FALSE,"Inputs and Calculations";"presentation","eightpool",FALSE,"Inputs and Calculations";"presentation","eightpurchase",FALSE,"Inputs and Calculations";"presentation","ninepool",FALSE,"Inputs and Calculations";"presentation","ninepurchase",FALSE,"Inputs and Calculations";"presentation","tenpool",FALSE,"Inputs and Calculations";"presentation","tenpurchase",FALSE,"Inputs and Calculations"}</definedName>
    <definedName name="wrn.valderrama." localSheetId="0" hidden="1">{"valderrama1",#N/A,FALSE,"Pro Forma";"valderrama",#N/A,FALSE,"Pro Forma"}</definedName>
    <definedName name="wrn.valderrama." hidden="1">{"valderrama1",#N/A,FALSE,"Pro Forma";"valderrama",#N/A,FALSE,"Pro Forma"}</definedName>
    <definedName name="wrn.Valuation._.Committee." localSheetId="0" hidden="1">{#N/A,#N/A,TRUE,"Cover";#N/A,#N/A,TRUE,"Macro Assumptions";#N/A,#N/A,TRUE,"Tariffs DTe";#N/A,#N/A,TRUE,"2000 Revenues";#N/A,#N/A,TRUE,"Initial RAB";#N/A,#N/A,TRUE,"inflated RAB";#N/A,#N/A,TRUE,"Budget TenneT";#N/A,#N/A,TRUE,"Revenues";#N/A,#N/A,TRUE,"Operating Expenses";#N/A,#N/A,TRUE,"Energy &amp; Power";#N/A,#N/A,TRUE,"Grid Costs";#N/A,#N/A,TRUE,"TPA";#N/A,#N/A,TRUE,"Maintenance";#N/A,#N/A,TRUE,"Personnel";#N/A,#N/A,TRUE,"General";#N/A,#N/A,TRUE,"Depr";#N/A,#N/A,TRUE,"P&amp;L";#N/A,#N/A,TRUE,"Fixed Assets_Sum";#N/A,#N/A,TRUE,"Assumptions";#N/A,#N/A,TRUE,"FA";#N/A,#N/A,TRUE,"CapEx";#N/A,#N/A,TRUE,"Work in Progress";#N/A,#N/A,TRUE,"Working Capital";#N/A,#N/A,TRUE,"Cash";#N/A,#N/A,TRUE,"Equity";#N/A,#N/A,TRUE,"Provisions";#N/A,#N/A,TRUE,"Debt";#N/A,#N/A,TRUE,"BS";#N/A,#N/A,TRUE,"CF";#N/A,#N/A,TRUE,"Lines";#N/A,#N/A,TRUE,"Stations";#N/A,#N/A,TRUE,"Cap. Expenses";#N/A,#N/A,TRUE,"Land";#N/A,#N/A,TRUE,"Cen Proces Sys";#N/A,#N/A,TRUE,"IT";#N/A,#N/A,TRUE,"telecom";#N/A,#N/A,TRUE,"Other";#N/A,#N/A,TRUE,"WACC_DTe_pre";#N/A,#N/A,TRUE,"WACC_DTe_post";#N/A,#N/A,TRUE,"Wacc";#N/A,#N/A,TRUE,"DCF EBITDA Multiple";#N/A,#N/A,TRUE,"DCF Perpetual Growth";#N/A,#N/A,TRUE,"RAB (DTe)";#N/A,#N/A,TRUE,"P&amp;L (2)";#N/A,#N/A,TRUE,"TComps"}</definedName>
    <definedName name="wrn.Valuation._.Committee." hidden="1">{#N/A,#N/A,TRUE,"Cover";#N/A,#N/A,TRUE,"Macro Assumptions";#N/A,#N/A,TRUE,"Tariffs DTe";#N/A,#N/A,TRUE,"2000 Revenues";#N/A,#N/A,TRUE,"Initial RAB";#N/A,#N/A,TRUE,"inflated RAB";#N/A,#N/A,TRUE,"Budget TenneT";#N/A,#N/A,TRUE,"Revenues";#N/A,#N/A,TRUE,"Operating Expenses";#N/A,#N/A,TRUE,"Energy &amp; Power";#N/A,#N/A,TRUE,"Grid Costs";#N/A,#N/A,TRUE,"TPA";#N/A,#N/A,TRUE,"Maintenance";#N/A,#N/A,TRUE,"Personnel";#N/A,#N/A,TRUE,"General";#N/A,#N/A,TRUE,"Depr";#N/A,#N/A,TRUE,"P&amp;L";#N/A,#N/A,TRUE,"Fixed Assets_Sum";#N/A,#N/A,TRUE,"Assumptions";#N/A,#N/A,TRUE,"FA";#N/A,#N/A,TRUE,"CapEx";#N/A,#N/A,TRUE,"Work in Progress";#N/A,#N/A,TRUE,"Working Capital";#N/A,#N/A,TRUE,"Cash";#N/A,#N/A,TRUE,"Equity";#N/A,#N/A,TRUE,"Provisions";#N/A,#N/A,TRUE,"Debt";#N/A,#N/A,TRUE,"BS";#N/A,#N/A,TRUE,"CF";#N/A,#N/A,TRUE,"Lines";#N/A,#N/A,TRUE,"Stations";#N/A,#N/A,TRUE,"Cap. Expenses";#N/A,#N/A,TRUE,"Land";#N/A,#N/A,TRUE,"Cen Proces Sys";#N/A,#N/A,TRUE,"IT";#N/A,#N/A,TRUE,"telecom";#N/A,#N/A,TRUE,"Other";#N/A,#N/A,TRUE,"WACC_DTe_pre";#N/A,#N/A,TRUE,"WACC_DTe_post";#N/A,#N/A,TRUE,"Wacc";#N/A,#N/A,TRUE,"DCF EBITDA Multiple";#N/A,#N/A,TRUE,"DCF Perpetual Growth";#N/A,#N/A,TRUE,"RAB (DTe)";#N/A,#N/A,TRUE,"P&amp;L (2)";#N/A,#N/A,TRUE,"TComps"}</definedName>
    <definedName name="wrn.Valuation._.Package._.1." localSheetId="0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Valuation._.Package._.1.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Water." localSheetId="0" hidden="1">{#N/A,#N/A,FALSE,"Water";#N/A,#N/A,FALSE,"Ballygowan";#N/A,#N/A,FALSE,"Volvic"}</definedName>
    <definedName name="wrn.Water." hidden="1">{#N/A,#N/A,FALSE,"Water";#N/A,#N/A,FALSE,"Ballygowan";#N/A,#N/A,FALSE,"Volvic"}</definedName>
    <definedName name="wrn.whole._.document." localSheetId="0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._.document.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Shabang." localSheetId="0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holeShabang.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ineSpirits." localSheetId="0" hidden="1">{#N/A,#N/A,FALSE,"W&amp;Spirits";#N/A,#N/A,FALSE,"Grants";#N/A,#N/A,FALSE,"CCB"}</definedName>
    <definedName name="wrn.WineSpirits." hidden="1">{#N/A,#N/A,FALSE,"W&amp;Spirits";#N/A,#N/A,FALSE,"Grants";#N/A,#N/A,FALSE,"CCB"}</definedName>
    <definedName name="wrn.WWY." localSheetId="0" hidden="1">{#N/A,#N/A,FALSE,"WWY"}</definedName>
    <definedName name="wrn.WWY." hidden="1">{#N/A,#N/A,FALSE,"WWY"}</definedName>
    <definedName name="wvu.inputs._.raw._.data." localSheetId="0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summary1." localSheetId="0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2." localSheetId="0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3." localSheetId="0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" localSheetId="0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еку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еку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xlnm.Print_Area" localSheetId="2">'ENERGY EFFICIENCY'!#REF!</definedName>
    <definedName name="_xlnm.Print_Area" localSheetId="1">ENVIRONMENT!$A$1:$K$3</definedName>
    <definedName name="_xlnm.Print_Area" localSheetId="4">GOVERNANCE!#REF!</definedName>
    <definedName name="_xlnm.Print_Area" localSheetId="0">MENU!$A$1:$Q$53</definedName>
    <definedName name="_xlnm.Print_Area" localSheetId="3">SOCIAL!$A$1:$L$2</definedName>
    <definedName name="ор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ор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прмтмиато" localSheetId="2" hidden="1">#REF!</definedName>
    <definedName name="прмтмиато" localSheetId="0" hidden="1">#REF!</definedName>
    <definedName name="прмтмиато" hidden="1">#REF!</definedName>
    <definedName name="рп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рп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9" i="7" l="1"/>
  <c r="G39" i="7"/>
  <c r="F39" i="7"/>
  <c r="E39" i="7"/>
  <c r="H38" i="7"/>
  <c r="G38" i="7"/>
  <c r="F38" i="7"/>
  <c r="E38" i="7"/>
  <c r="H37" i="7"/>
  <c r="G37" i="7"/>
  <c r="F37" i="7"/>
  <c r="E37" i="7"/>
  <c r="H36" i="7"/>
  <c r="G36" i="7"/>
  <c r="F36" i="7"/>
  <c r="E36" i="7"/>
  <c r="H35" i="7"/>
  <c r="G35" i="7"/>
  <c r="F35" i="7"/>
  <c r="E35" i="7"/>
  <c r="I15" i="6" l="1"/>
  <c r="I13" i="6"/>
  <c r="I10" i="6"/>
  <c r="I57" i="7"/>
  <c r="I53" i="7"/>
  <c r="I52" i="7"/>
  <c r="I51" i="7"/>
  <c r="I49" i="7"/>
  <c r="I39" i="7"/>
  <c r="I38" i="7"/>
  <c r="I37" i="7"/>
  <c r="I36" i="7"/>
  <c r="I35" i="7"/>
  <c r="I25" i="7"/>
  <c r="I23" i="7"/>
  <c r="I21" i="7"/>
  <c r="I18" i="7"/>
  <c r="I17" i="7"/>
  <c r="I16" i="7"/>
  <c r="I15" i="7"/>
  <c r="I14" i="7"/>
  <c r="I80" i="7"/>
  <c r="I74" i="7"/>
  <c r="I7" i="7"/>
  <c r="I11" i="7"/>
  <c r="I10" i="7"/>
  <c r="I9" i="7"/>
  <c r="I8" i="7"/>
  <c r="I86" i="5"/>
  <c r="I80" i="5"/>
  <c r="I19" i="5"/>
  <c r="I18" i="5"/>
  <c r="I17" i="5"/>
  <c r="I16" i="5"/>
  <c r="I12" i="5"/>
  <c r="I11" i="5"/>
  <c r="H57" i="7" l="1"/>
  <c r="G57" i="7"/>
  <c r="F57" i="7"/>
  <c r="E57" i="7"/>
  <c r="H53" i="7"/>
  <c r="G53" i="7"/>
  <c r="F53" i="7"/>
  <c r="E53" i="7"/>
  <c r="H52" i="7"/>
  <c r="G52" i="7"/>
  <c r="F52" i="7"/>
  <c r="E52" i="7"/>
  <c r="H51" i="7"/>
  <c r="G51" i="7"/>
  <c r="F51" i="7"/>
  <c r="E51" i="7"/>
  <c r="H50" i="7"/>
  <c r="G50" i="7"/>
  <c r="H49" i="7"/>
  <c r="G49" i="7"/>
  <c r="F49" i="7"/>
  <c r="E49" i="7"/>
  <c r="H25" i="7"/>
  <c r="G25" i="7"/>
  <c r="F25" i="7"/>
  <c r="E25" i="7"/>
  <c r="H23" i="7"/>
  <c r="G23" i="7"/>
  <c r="F23" i="7"/>
  <c r="E23" i="7"/>
  <c r="H21" i="7"/>
  <c r="G21" i="7"/>
  <c r="F21" i="7"/>
  <c r="E21" i="7"/>
  <c r="H18" i="7"/>
  <c r="G18" i="7"/>
  <c r="F18" i="7"/>
  <c r="E18" i="7"/>
  <c r="H17" i="7"/>
  <c r="G17" i="7"/>
  <c r="F17" i="7"/>
  <c r="E17" i="7"/>
  <c r="H16" i="7"/>
  <c r="G16" i="7"/>
  <c r="F16" i="7"/>
  <c r="E16" i="7"/>
  <c r="H15" i="7"/>
  <c r="E15" i="7"/>
  <c r="G15" i="7"/>
  <c r="F15" i="7"/>
  <c r="H14" i="7"/>
  <c r="G14" i="7"/>
  <c r="F14" i="7"/>
  <c r="E14" i="7"/>
  <c r="H11" i="7"/>
  <c r="G11" i="7"/>
  <c r="F11" i="7"/>
  <c r="E11" i="7"/>
  <c r="H10" i="7"/>
  <c r="G10" i="7"/>
  <c r="F10" i="7"/>
  <c r="E10" i="7"/>
  <c r="H9" i="7"/>
  <c r="G9" i="7"/>
  <c r="F9" i="7"/>
  <c r="E9" i="7"/>
  <c r="G8" i="7"/>
  <c r="H8" i="7"/>
  <c r="F8" i="7"/>
  <c r="E8" i="7"/>
  <c r="H7" i="7"/>
  <c r="G7" i="7"/>
  <c r="F7" i="7"/>
  <c r="E7" i="7"/>
  <c r="H15" i="6" l="1"/>
  <c r="G15" i="6"/>
  <c r="F15" i="6"/>
  <c r="E15" i="6"/>
  <c r="D15" i="6"/>
  <c r="C15" i="6"/>
  <c r="H13" i="6"/>
  <c r="G13" i="6"/>
  <c r="F13" i="6"/>
  <c r="E13" i="6"/>
  <c r="D13" i="6"/>
  <c r="C13" i="6"/>
  <c r="H10" i="6"/>
  <c r="G10" i="6"/>
  <c r="F10" i="6"/>
  <c r="E10" i="6"/>
  <c r="D10" i="6"/>
  <c r="C10" i="6"/>
</calcChain>
</file>

<file path=xl/sharedStrings.xml><?xml version="1.0" encoding="utf-8"?>
<sst xmlns="http://schemas.openxmlformats.org/spreadsheetml/2006/main" count="786" uniqueCount="172">
  <si>
    <t>%</t>
  </si>
  <si>
    <t>-</t>
  </si>
  <si>
    <t>Меню</t>
  </si>
  <si>
    <t>ir@phosagro.ru</t>
  </si>
  <si>
    <t>Тел.: +7 495 232 96 89</t>
  </si>
  <si>
    <t>$ mln</t>
  </si>
  <si>
    <t>tons/ $ mln sales</t>
  </si>
  <si>
    <t>LTIFR</t>
  </si>
  <si>
    <t>FIFR</t>
  </si>
  <si>
    <t>2018</t>
  </si>
  <si>
    <t>3</t>
  </si>
  <si>
    <t>33%</t>
  </si>
  <si>
    <t>ESG Data Book</t>
  </si>
  <si>
    <t>of PhosAgro</t>
  </si>
  <si>
    <t>ENVIRONMENT</t>
  </si>
  <si>
    <t>SOCIAL</t>
  </si>
  <si>
    <t>GOVERNANCE</t>
  </si>
  <si>
    <t>Sustainability Department</t>
  </si>
  <si>
    <t xml:space="preserve">                        Environmental Indicators</t>
  </si>
  <si>
    <t>Air pollutant emissions</t>
  </si>
  <si>
    <t>Total Group</t>
  </si>
  <si>
    <t>Kirovsk Branch of Apatit</t>
  </si>
  <si>
    <t>Balakovo Branch of Apatit</t>
  </si>
  <si>
    <t>Volkhov Branch of Apatit</t>
  </si>
  <si>
    <t>Apatit (Cherepovets)</t>
  </si>
  <si>
    <t>Apatit (Cherepovets), including:</t>
  </si>
  <si>
    <t xml:space="preserve">    sulphur dioxide (SO2)</t>
  </si>
  <si>
    <t xml:space="preserve">    nitrogen oxide (NОx)</t>
  </si>
  <si>
    <t>Unit</t>
  </si>
  <si>
    <t>kg/t</t>
  </si>
  <si>
    <t>Goal to 2025</t>
  </si>
  <si>
    <t>Water withdrawal</t>
  </si>
  <si>
    <t>mln m3</t>
  </si>
  <si>
    <t>m3/t</t>
  </si>
  <si>
    <t>Wastewater discharge</t>
  </si>
  <si>
    <t>Pollutant discharges</t>
  </si>
  <si>
    <t>Greenhouse gas emissions</t>
  </si>
  <si>
    <t>n/d</t>
  </si>
  <si>
    <t>Waste generation</t>
  </si>
  <si>
    <t>t/t</t>
  </si>
  <si>
    <t xml:space="preserve">Hazardous waste recycling and disposal (I-IV) </t>
  </si>
  <si>
    <t>Hazardous waste generation (I-IV)</t>
  </si>
  <si>
    <t>RUB mln</t>
  </si>
  <si>
    <t>Total, including:</t>
  </si>
  <si>
    <t>Environmental Expenses</t>
  </si>
  <si>
    <t xml:space="preserve">  current environmental expenses (form №4-ОС)</t>
  </si>
  <si>
    <t xml:space="preserve">  environmental CapEx (form №18-КС)</t>
  </si>
  <si>
    <t xml:space="preserve">  negative environmental impact payments</t>
  </si>
  <si>
    <t xml:space="preserve">  environmental CapEx (not included in form 18 - КС)</t>
  </si>
  <si>
    <t>Production</t>
  </si>
  <si>
    <t>Fertilizers</t>
  </si>
  <si>
    <t>MCP</t>
  </si>
  <si>
    <t>Ammonia</t>
  </si>
  <si>
    <t>Nitrogen acid</t>
  </si>
  <si>
    <t>AN and AN-based</t>
  </si>
  <si>
    <t>Urea</t>
  </si>
  <si>
    <t>Sulphuric acid</t>
  </si>
  <si>
    <t>Phosphoric acid</t>
  </si>
  <si>
    <t>Aluminum fluoride</t>
  </si>
  <si>
    <t>Phosphate rock and nepheline concentrate</t>
  </si>
  <si>
    <t>STPP</t>
  </si>
  <si>
    <t>th t</t>
  </si>
  <si>
    <t>Total</t>
  </si>
  <si>
    <t>Revenue</t>
  </si>
  <si>
    <t>IFRS revenue</t>
  </si>
  <si>
    <t>ENERGY EFFICIENCY</t>
  </si>
  <si>
    <t xml:space="preserve">        Energy efficiency</t>
  </si>
  <si>
    <t>th kWh/t</t>
  </si>
  <si>
    <t>Electricity generated</t>
  </si>
  <si>
    <t>Electricity bought</t>
  </si>
  <si>
    <t>Electricity consumption</t>
  </si>
  <si>
    <t>Electricity self-sufficiency</t>
  </si>
  <si>
    <t>Heating consumption</t>
  </si>
  <si>
    <t>Reused Water</t>
  </si>
  <si>
    <t>Natural gas consumption</t>
  </si>
  <si>
    <t>th m3/t</t>
  </si>
  <si>
    <t>Fuel consumption</t>
  </si>
  <si>
    <t xml:space="preserve">                         Social Indicators</t>
  </si>
  <si>
    <t>people</t>
  </si>
  <si>
    <t>RUB th</t>
  </si>
  <si>
    <t>h</t>
  </si>
  <si>
    <t>age</t>
  </si>
  <si>
    <t>RUB</t>
  </si>
  <si>
    <t>Newly hired staff</t>
  </si>
  <si>
    <t>Staff turnover</t>
  </si>
  <si>
    <t>Average headcount</t>
  </si>
  <si>
    <t>Costs of VHI, professional examinations</t>
  </si>
  <si>
    <t>Support for childhood and motherhood</t>
  </si>
  <si>
    <t>Retirement Benefit</t>
  </si>
  <si>
    <t>Costs for recreation, spa treatment</t>
  </si>
  <si>
    <t>Wellness programs costs</t>
  </si>
  <si>
    <t>Number of people on maternity leave, for childcare</t>
  </si>
  <si>
    <t>Number of people returning to work from maternity leave, childcare</t>
  </si>
  <si>
    <t>Average number of training hours received by employees</t>
  </si>
  <si>
    <t>Human Rights Education</t>
  </si>
  <si>
    <t>Average age</t>
  </si>
  <si>
    <t>Average salary</t>
  </si>
  <si>
    <t>Loyalty and Satisfaction Ratio</t>
  </si>
  <si>
    <t xml:space="preserve">                        Health &amp; Safety</t>
  </si>
  <si>
    <t>Accidents</t>
  </si>
  <si>
    <t>Coverage</t>
  </si>
  <si>
    <t>Accidents (employees) *
(except fatal)</t>
  </si>
  <si>
    <t>Accidents (contractors) *
(except fatal)</t>
  </si>
  <si>
    <t>Accidents, total (employees + contractors)</t>
  </si>
  <si>
    <t>Fatal cases</t>
  </si>
  <si>
    <t>Fatalities (employees) *</t>
  </si>
  <si>
    <t>Fatalities (contractors) *</t>
  </si>
  <si>
    <t>Fatalities, total (employees + contractors)</t>
  </si>
  <si>
    <t>Lost Time Injury Frequency Rate (LTIFR, for 200 th hours), employees</t>
  </si>
  <si>
    <t>Lost Time Injury Frequency Rate (LTIFR, for 1 mln hours), employees</t>
  </si>
  <si>
    <t>index</t>
  </si>
  <si>
    <t>Fatal-Injury Frequency Rate  (FIFR, for 200 th hours), employees</t>
  </si>
  <si>
    <t>Health &amp; Safety expenses</t>
  </si>
  <si>
    <t>*  Injury statistics are presented according to the number of injured (only own employees of JSC Apatit, Kirovsk Branch, Balakovo Branch, Volkhov Branch) as a result of industrial accidents that are subject to registration and accounting in accordance with the legislation of the Russian Federation.</t>
  </si>
  <si>
    <t xml:space="preserve">                        Corporate Governance</t>
  </si>
  <si>
    <t>Total Directors, including:</t>
  </si>
  <si>
    <t>Board of Directors</t>
  </si>
  <si>
    <t>Structure of the Board of Directors</t>
  </si>
  <si>
    <t>yes/no</t>
  </si>
  <si>
    <t xml:space="preserve">       independent directors</t>
  </si>
  <si>
    <t xml:space="preserve">   Chairman of the Board of Directors - Independent Director</t>
  </si>
  <si>
    <t xml:space="preserve">       non-executive directors</t>
  </si>
  <si>
    <t xml:space="preserve">       share of independent directors</t>
  </si>
  <si>
    <t xml:space="preserve">       share of non-executive directors</t>
  </si>
  <si>
    <t xml:space="preserve">       executive directors</t>
  </si>
  <si>
    <t xml:space="preserve">       share of executive directors</t>
  </si>
  <si>
    <t>Number of women on the Board of Directors</t>
  </si>
  <si>
    <t>Number of meetings of the Board of Directors, including:</t>
  </si>
  <si>
    <t xml:space="preserve">       in-person meetings</t>
  </si>
  <si>
    <t>times</t>
  </si>
  <si>
    <t>Years served on the Board of Directors</t>
  </si>
  <si>
    <t>&lt; 1 year</t>
  </si>
  <si>
    <t>1-3 years</t>
  </si>
  <si>
    <t>&gt; 3 years</t>
  </si>
  <si>
    <t>Age of Directors</t>
  </si>
  <si>
    <t>&lt; 40 years old</t>
  </si>
  <si>
    <t>40-60 years old</t>
  </si>
  <si>
    <t>&gt; 60 years old</t>
  </si>
  <si>
    <t>Industry experience</t>
  </si>
  <si>
    <t>sales</t>
  </si>
  <si>
    <t>financial markets</t>
  </si>
  <si>
    <t>finance and audit</t>
  </si>
  <si>
    <t>chemical, mining</t>
  </si>
  <si>
    <t>Committees of the Board of Directors</t>
  </si>
  <si>
    <t>Audit Committee</t>
  </si>
  <si>
    <t>yes</t>
  </si>
  <si>
    <t>Share of independent directors</t>
  </si>
  <si>
    <t>Chairman of Committee - independent director</t>
  </si>
  <si>
    <t>Meetings of the Committee</t>
  </si>
  <si>
    <t>Risk management Committee</t>
  </si>
  <si>
    <t>no</t>
  </si>
  <si>
    <t>Remuniration and Human resources Committee</t>
  </si>
  <si>
    <t>Strategy Committee</t>
  </si>
  <si>
    <t>Environment, Health &amp; Safety Committee</t>
  </si>
  <si>
    <t>Management Board</t>
  </si>
  <si>
    <t>Number of Board Members</t>
  </si>
  <si>
    <t>Meetings of the Management Board</t>
  </si>
  <si>
    <t>Risk management and internal control unit(s)</t>
  </si>
  <si>
    <t>Existance of a separate risk management and internal control unit (s)</t>
  </si>
  <si>
    <t>Board of Directors Internal Audit Unit</t>
  </si>
  <si>
    <t>Internal audit Department</t>
  </si>
  <si>
    <t>Auditor Remuneration</t>
  </si>
  <si>
    <t>Auditor's fee</t>
  </si>
  <si>
    <t>0,79 / 2,12</t>
  </si>
  <si>
    <t xml:space="preserve">  environmental fines / damages </t>
  </si>
  <si>
    <t>2019*</t>
  </si>
  <si>
    <t>Gcal/t</t>
  </si>
  <si>
    <t>да</t>
  </si>
  <si>
    <t>2019</t>
  </si>
  <si>
    <t>Sustainable Development Commettee</t>
  </si>
  <si>
    <t xml:space="preserve">* Goal is under review due to previous goal was achieved in advance. </t>
  </si>
  <si>
    <t xml:space="preserve">* Internal data collection and calculation methodology was modiied in 2019.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</si>
</sst>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0.0"/>
    <numFmt numFmtId="166" formatCode="0.000"/>
    <numFmt numFmtId="167" formatCode="#,##0.000"/>
  </numFmts>
  <fonts count="43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Calibri"/>
      <family val="2"/>
    </font>
    <font>
      <sz val="10"/>
      <color indexed="63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  <charset val="204"/>
    </font>
    <font>
      <sz val="10"/>
      <color indexed="8"/>
      <name val="Tahoma"/>
      <family val="2"/>
      <charset val="204"/>
    </font>
    <font>
      <sz val="10"/>
      <color indexed="63"/>
      <name val="Tahoma"/>
      <family val="2"/>
      <charset val="204"/>
    </font>
    <font>
      <sz val="12"/>
      <name val="Tahoma"/>
      <family val="2"/>
      <charset val="204"/>
    </font>
    <font>
      <sz val="12"/>
      <name val="Arial"/>
      <family val="2"/>
      <charset val="204"/>
    </font>
    <font>
      <b/>
      <sz val="12"/>
      <name val="Tahoma"/>
      <family val="2"/>
      <charset val="204"/>
    </font>
    <font>
      <b/>
      <sz val="10"/>
      <color rgb="FF000000"/>
      <name val="Tahoma"/>
      <family val="2"/>
      <charset val="204"/>
    </font>
    <font>
      <sz val="11"/>
      <color rgb="FF000000"/>
      <name val="Tahoma"/>
      <family val="2"/>
      <charset val="204"/>
    </font>
    <font>
      <sz val="12"/>
      <color theme="1" tint="0.34998626667073579"/>
      <name val="Arial"/>
      <family val="2"/>
      <charset val="204"/>
    </font>
    <font>
      <sz val="12"/>
      <color theme="1" tint="0.34998626667073579"/>
      <name val="Tahoma"/>
      <family val="2"/>
      <charset val="204"/>
    </font>
    <font>
      <sz val="10"/>
      <color theme="1" tint="0.34998626667073579"/>
      <name val="Arial"/>
      <family val="2"/>
      <charset val="204"/>
    </font>
    <font>
      <b/>
      <sz val="18"/>
      <color theme="1" tint="0.34998626667073579"/>
      <name val="PTSansPro-Regular"/>
      <family val="2"/>
    </font>
    <font>
      <u/>
      <sz val="12"/>
      <color theme="10"/>
      <name val="PTSansPro-Regular"/>
      <family val="2"/>
    </font>
    <font>
      <sz val="12"/>
      <color theme="1" tint="0.34998626667073579"/>
      <name val="PTSansPro-Regular"/>
      <family val="2"/>
    </font>
    <font>
      <b/>
      <sz val="12"/>
      <color theme="1" tint="0.34998626667073579"/>
      <name val="PTSansPro-Regular"/>
      <family val="2"/>
    </font>
    <font>
      <u/>
      <sz val="11"/>
      <color theme="10"/>
      <name val="PTSansPro-Regular"/>
      <family val="2"/>
    </font>
    <font>
      <b/>
      <sz val="12"/>
      <color theme="0"/>
      <name val="PTSansPro-Regular"/>
      <family val="2"/>
    </font>
    <font>
      <sz val="10"/>
      <color theme="0"/>
      <name val="PTSansPro-Regular"/>
      <family val="2"/>
    </font>
    <font>
      <sz val="9"/>
      <color theme="1"/>
      <name val="PTSansPro-Regular"/>
      <family val="2"/>
    </font>
    <font>
      <sz val="9"/>
      <color indexed="8"/>
      <name val="PTSansPro-Regular"/>
      <family val="2"/>
    </font>
    <font>
      <b/>
      <sz val="9"/>
      <color theme="1"/>
      <name val="PTSansPro-Regular"/>
      <family val="2"/>
    </font>
    <font>
      <sz val="9"/>
      <color indexed="63"/>
      <name val="PTSansPro-Regular"/>
      <family val="2"/>
    </font>
    <font>
      <b/>
      <sz val="9"/>
      <color indexed="8"/>
      <name val="PTSansPro-Regular"/>
      <family val="2"/>
    </font>
    <font>
      <sz val="8"/>
      <color theme="1"/>
      <name val="PTSansPro-Regular"/>
      <family val="2"/>
    </font>
    <font>
      <i/>
      <sz val="9"/>
      <color indexed="8"/>
      <name val="PTSansPro-Regular"/>
      <family val="2"/>
    </font>
    <font>
      <i/>
      <sz val="9"/>
      <color indexed="63"/>
      <name val="PTSansPro-Regular"/>
      <family val="2"/>
    </font>
    <font>
      <i/>
      <sz val="9"/>
      <color theme="1"/>
      <name val="PTSansPro-Regular"/>
      <family val="2"/>
    </font>
    <font>
      <i/>
      <sz val="8"/>
      <color theme="1"/>
      <name val="PTSansPro-Regular"/>
      <family val="2"/>
    </font>
    <font>
      <sz val="8"/>
      <color indexed="8"/>
      <name val="PTSansPro-Regular"/>
      <family val="2"/>
    </font>
    <font>
      <sz val="8"/>
      <name val="PTSansPro-Regular"/>
      <family val="2"/>
    </font>
    <font>
      <b/>
      <sz val="12"/>
      <name val="PTSansPro-Regular"/>
      <family val="2"/>
    </font>
    <font>
      <b/>
      <sz val="11"/>
      <color theme="1"/>
      <name val="Calibri"/>
      <family val="2"/>
      <charset val="204"/>
      <scheme val="minor"/>
    </font>
    <font>
      <sz val="9"/>
      <name val="PTSansPro-Regular"/>
      <family val="2"/>
    </font>
    <font>
      <i/>
      <sz val="9"/>
      <name val="PTSansPro-Regular"/>
      <family val="2"/>
    </font>
    <font>
      <sz val="9"/>
      <color theme="1"/>
      <name val="PTSansPro-Regular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5B9BD5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2" fillId="3" borderId="0" applyNumberFormat="0" applyBorder="0" applyProtection="0">
      <alignment horizontal="center"/>
    </xf>
    <xf numFmtId="0" fontId="3" fillId="3" borderId="1"/>
    <xf numFmtId="0" fontId="5" fillId="3" borderId="1"/>
    <xf numFmtId="3" fontId="4" fillId="3" borderId="2">
      <alignment horizontal="right"/>
    </xf>
    <xf numFmtId="0" fontId="6" fillId="0" borderId="0" applyNumberFormat="0" applyFill="0" applyBorder="0" applyAlignment="0" applyProtection="0"/>
    <xf numFmtId="0" fontId="7" fillId="0" borderId="0"/>
  </cellStyleXfs>
  <cellXfs count="180">
    <xf numFmtId="0" fontId="0" fillId="0" borderId="0" xfId="0"/>
    <xf numFmtId="0" fontId="1" fillId="2" borderId="0" xfId="1" applyFill="1"/>
    <xf numFmtId="0" fontId="8" fillId="0" borderId="0" xfId="0" applyFont="1"/>
    <xf numFmtId="0" fontId="0" fillId="0" borderId="0" xfId="0" applyFill="1" applyBorder="1"/>
    <xf numFmtId="0" fontId="8" fillId="0" borderId="0" xfId="7" applyFont="1"/>
    <xf numFmtId="0" fontId="9" fillId="3" borderId="0" xfId="4" applyNumberFormat="1" applyFont="1" applyFill="1" applyBorder="1" applyAlignment="1" applyProtection="1">
      <alignment horizontal="left"/>
    </xf>
    <xf numFmtId="0" fontId="0" fillId="0" borderId="0" xfId="0" applyBorder="1"/>
    <xf numFmtId="0" fontId="10" fillId="0" borderId="0" xfId="3" applyNumberFormat="1" applyFont="1" applyFill="1" applyBorder="1" applyAlignment="1" applyProtection="1">
      <alignment horizontal="center"/>
    </xf>
    <xf numFmtId="3" fontId="8" fillId="2" borderId="0" xfId="0" applyNumberFormat="1" applyFont="1" applyFill="1" applyBorder="1"/>
    <xf numFmtId="0" fontId="11" fillId="2" borderId="0" xfId="1" applyFont="1" applyFill="1"/>
    <xf numFmtId="0" fontId="12" fillId="2" borderId="0" xfId="1" applyFont="1" applyFill="1"/>
    <xf numFmtId="0" fontId="1" fillId="2" borderId="0" xfId="1" applyFill="1" applyBorder="1"/>
    <xf numFmtId="0" fontId="12" fillId="2" borderId="0" xfId="1" applyFont="1" applyFill="1" applyBorder="1"/>
    <xf numFmtId="0" fontId="13" fillId="2" borderId="0" xfId="1" applyFont="1" applyFill="1"/>
    <xf numFmtId="0" fontId="14" fillId="2" borderId="0" xfId="0" applyFont="1" applyFill="1" applyBorder="1" applyAlignment="1">
      <alignment horizontal="right" vertical="center" wrapText="1"/>
    </xf>
    <xf numFmtId="0" fontId="15" fillId="2" borderId="0" xfId="0" applyFont="1" applyFill="1" applyAlignment="1">
      <alignment horizontal="right" vertical="center" wrapText="1"/>
    </xf>
    <xf numFmtId="0" fontId="15" fillId="2" borderId="0" xfId="0" applyFont="1" applyFill="1" applyBorder="1" applyAlignment="1">
      <alignment horizontal="right" vertical="center" wrapText="1"/>
    </xf>
    <xf numFmtId="0" fontId="16" fillId="2" borderId="0" xfId="1" applyFont="1" applyFill="1" applyBorder="1"/>
    <xf numFmtId="0" fontId="17" fillId="2" borderId="0" xfId="1" applyFont="1" applyFill="1"/>
    <xf numFmtId="0" fontId="18" fillId="2" borderId="0" xfId="1" applyFont="1" applyFill="1" applyBorder="1"/>
    <xf numFmtId="0" fontId="19" fillId="2" borderId="0" xfId="1" applyFont="1" applyFill="1"/>
    <xf numFmtId="0" fontId="21" fillId="2" borderId="0" xfId="1" applyFont="1" applyFill="1"/>
    <xf numFmtId="0" fontId="22" fillId="2" borderId="0" xfId="1" applyFont="1" applyFill="1"/>
    <xf numFmtId="0" fontId="23" fillId="2" borderId="0" xfId="6" applyFont="1" applyFill="1"/>
    <xf numFmtId="0" fontId="0" fillId="5" borderId="0" xfId="0" applyFill="1" applyBorder="1"/>
    <xf numFmtId="0" fontId="25" fillId="5" borderId="0" xfId="1" applyFont="1" applyFill="1" applyBorder="1"/>
    <xf numFmtId="0" fontId="27" fillId="3" borderId="7" xfId="4" applyNumberFormat="1" applyFont="1" applyFill="1" applyBorder="1" applyAlignment="1" applyProtection="1"/>
    <xf numFmtId="0" fontId="27" fillId="3" borderId="7" xfId="4" applyNumberFormat="1" applyFont="1" applyFill="1" applyBorder="1" applyAlignment="1" applyProtection="1">
      <alignment horizontal="left"/>
    </xf>
    <xf numFmtId="0" fontId="27" fillId="3" borderId="11" xfId="4" applyNumberFormat="1" applyFont="1" applyFill="1" applyBorder="1" applyAlignment="1" applyProtection="1">
      <alignment horizontal="left"/>
    </xf>
    <xf numFmtId="164" fontId="29" fillId="3" borderId="0" xfId="3" applyNumberFormat="1" applyFont="1" applyFill="1" applyBorder="1" applyAlignment="1" applyProtection="1">
      <alignment horizontal="center"/>
    </xf>
    <xf numFmtId="164" fontId="29" fillId="3" borderId="9" xfId="3" applyNumberFormat="1" applyFont="1" applyFill="1" applyBorder="1" applyAlignment="1" applyProtection="1">
      <alignment horizontal="center"/>
    </xf>
    <xf numFmtId="164" fontId="29" fillId="3" borderId="12" xfId="3" applyNumberFormat="1" applyFont="1" applyFill="1" applyBorder="1" applyAlignment="1" applyProtection="1">
      <alignment horizontal="center"/>
    </xf>
    <xf numFmtId="166" fontId="26" fillId="0" borderId="0" xfId="0" applyNumberFormat="1" applyFont="1" applyAlignment="1">
      <alignment horizontal="center" vertical="center"/>
    </xf>
    <xf numFmtId="166" fontId="26" fillId="0" borderId="8" xfId="0" applyNumberFormat="1" applyFont="1" applyBorder="1" applyAlignment="1">
      <alignment horizontal="center" vertical="center"/>
    </xf>
    <xf numFmtId="166" fontId="26" fillId="0" borderId="6" xfId="0" applyNumberFormat="1" applyFont="1" applyBorder="1" applyAlignment="1">
      <alignment horizontal="center" vertical="center"/>
    </xf>
    <xf numFmtId="166" fontId="26" fillId="0" borderId="10" xfId="0" applyNumberFormat="1" applyFont="1" applyBorder="1" applyAlignment="1">
      <alignment horizontal="center" vertical="center"/>
    </xf>
    <xf numFmtId="0" fontId="25" fillId="5" borderId="0" xfId="1" applyFont="1" applyFill="1" applyBorder="1" applyAlignment="1">
      <alignment horizontal="center" vertical="center"/>
    </xf>
    <xf numFmtId="164" fontId="29" fillId="3" borderId="8" xfId="3" applyNumberFormat="1" applyFont="1" applyFill="1" applyBorder="1" applyAlignment="1" applyProtection="1">
      <alignment horizontal="center"/>
    </xf>
    <xf numFmtId="166" fontId="26" fillId="0" borderId="0" xfId="0" applyNumberFormat="1" applyFont="1" applyBorder="1" applyAlignment="1">
      <alignment horizontal="center" vertical="center"/>
    </xf>
    <xf numFmtId="0" fontId="25" fillId="5" borderId="0" xfId="1" applyFont="1" applyFill="1" applyBorder="1" applyAlignment="1">
      <alignment horizontal="center"/>
    </xf>
    <xf numFmtId="165" fontId="26" fillId="0" borderId="6" xfId="0" applyNumberFormat="1" applyFont="1" applyBorder="1" applyAlignment="1">
      <alignment horizontal="center" vertical="center"/>
    </xf>
    <xf numFmtId="165" fontId="26" fillId="0" borderId="10" xfId="0" applyNumberFormat="1" applyFont="1" applyBorder="1" applyAlignment="1">
      <alignment horizontal="center" vertical="center"/>
    </xf>
    <xf numFmtId="0" fontId="25" fillId="6" borderId="0" xfId="1" applyFont="1" applyFill="1" applyBorder="1"/>
    <xf numFmtId="0" fontId="25" fillId="6" borderId="0" xfId="1" applyFont="1" applyFill="1" applyBorder="1" applyAlignment="1">
      <alignment horizontal="center"/>
    </xf>
    <xf numFmtId="0" fontId="25" fillId="6" borderId="0" xfId="1" applyFont="1" applyFill="1" applyBorder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3" fontId="26" fillId="0" borderId="0" xfId="0" applyNumberFormat="1" applyFont="1" applyAlignment="1">
      <alignment horizontal="center" vertical="center"/>
    </xf>
    <xf numFmtId="3" fontId="0" fillId="0" borderId="0" xfId="0" applyNumberFormat="1"/>
    <xf numFmtId="3" fontId="26" fillId="0" borderId="8" xfId="0" applyNumberFormat="1" applyFont="1" applyBorder="1" applyAlignment="1">
      <alignment horizontal="center" vertical="center"/>
    </xf>
    <xf numFmtId="3" fontId="0" fillId="0" borderId="8" xfId="0" applyNumberFormat="1" applyBorder="1"/>
    <xf numFmtId="0" fontId="30" fillId="3" borderId="20" xfId="4" applyNumberFormat="1" applyFont="1" applyFill="1" applyBorder="1" applyAlignment="1" applyProtection="1">
      <alignment horizontal="left"/>
    </xf>
    <xf numFmtId="3" fontId="28" fillId="0" borderId="5" xfId="0" applyNumberFormat="1" applyFont="1" applyBorder="1" applyAlignment="1">
      <alignment horizontal="center" vertical="center"/>
    </xf>
    <xf numFmtId="3" fontId="28" fillId="0" borderId="23" xfId="0" applyNumberFormat="1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26" fillId="0" borderId="9" xfId="0" applyFont="1" applyBorder="1"/>
    <xf numFmtId="0" fontId="26" fillId="0" borderId="12" xfId="0" applyFont="1" applyBorder="1" applyAlignment="1">
      <alignment horizontal="center" vertical="center"/>
    </xf>
    <xf numFmtId="3" fontId="26" fillId="0" borderId="6" xfId="0" applyNumberFormat="1" applyFont="1" applyBorder="1" applyAlignment="1">
      <alignment horizontal="center" vertical="center"/>
    </xf>
    <xf numFmtId="3" fontId="26" fillId="0" borderId="10" xfId="0" applyNumberFormat="1" applyFont="1" applyBorder="1" applyAlignment="1">
      <alignment horizontal="center" vertical="center"/>
    </xf>
    <xf numFmtId="166" fontId="26" fillId="0" borderId="12" xfId="0" applyNumberFormat="1" applyFont="1" applyBorder="1" applyAlignment="1">
      <alignment horizontal="center" vertical="center"/>
    </xf>
    <xf numFmtId="0" fontId="27" fillId="3" borderId="11" xfId="4" applyNumberFormat="1" applyFont="1" applyFill="1" applyBorder="1" applyAlignment="1" applyProtection="1"/>
    <xf numFmtId="165" fontId="26" fillId="0" borderId="12" xfId="0" applyNumberFormat="1" applyFont="1" applyBorder="1" applyAlignment="1">
      <alignment horizontal="center" vertical="center"/>
    </xf>
    <xf numFmtId="0" fontId="27" fillId="3" borderId="7" xfId="4" applyNumberFormat="1" applyFont="1" applyFill="1" applyBorder="1" applyAlignment="1" applyProtection="1">
      <alignment wrapText="1"/>
    </xf>
    <xf numFmtId="0" fontId="27" fillId="3" borderId="7" xfId="4" applyNumberFormat="1" applyFont="1" applyFill="1" applyBorder="1" applyAlignment="1" applyProtection="1">
      <alignment horizontal="left" wrapText="1"/>
    </xf>
    <xf numFmtId="0" fontId="27" fillId="3" borderId="11" xfId="4" applyNumberFormat="1" applyFont="1" applyFill="1" applyBorder="1" applyAlignment="1" applyProtection="1">
      <alignment wrapText="1"/>
    </xf>
    <xf numFmtId="164" fontId="26" fillId="0" borderId="0" xfId="0" applyNumberFormat="1" applyFont="1" applyAlignment="1">
      <alignment horizontal="center" vertical="center"/>
    </xf>
    <xf numFmtId="164" fontId="26" fillId="0" borderId="8" xfId="0" applyNumberFormat="1" applyFont="1" applyBorder="1" applyAlignment="1">
      <alignment horizontal="center" vertical="center"/>
    </xf>
    <xf numFmtId="164" fontId="26" fillId="0" borderId="6" xfId="0" applyNumberFormat="1" applyFont="1" applyBorder="1" applyAlignment="1">
      <alignment horizontal="center" vertical="center"/>
    </xf>
    <xf numFmtId="164" fontId="26" fillId="0" borderId="10" xfId="0" applyNumberFormat="1" applyFont="1" applyBorder="1" applyAlignment="1">
      <alignment horizontal="center" vertical="center"/>
    </xf>
    <xf numFmtId="0" fontId="24" fillId="5" borderId="0" xfId="1" applyFont="1" applyFill="1" applyBorder="1" applyAlignment="1"/>
    <xf numFmtId="0" fontId="24" fillId="5" borderId="0" xfId="1" applyFont="1" applyFill="1" applyBorder="1" applyAlignment="1">
      <alignment horizontal="center"/>
    </xf>
    <xf numFmtId="1" fontId="26" fillId="0" borderId="8" xfId="0" applyNumberFormat="1" applyFont="1" applyBorder="1" applyAlignment="1">
      <alignment horizontal="center" vertical="center"/>
    </xf>
    <xf numFmtId="1" fontId="26" fillId="0" borderId="0" xfId="0" applyNumberFormat="1" applyFont="1" applyBorder="1" applyAlignment="1">
      <alignment horizontal="center" vertical="center"/>
    </xf>
    <xf numFmtId="1" fontId="26" fillId="0" borderId="6" xfId="0" applyNumberFormat="1" applyFont="1" applyBorder="1" applyAlignment="1">
      <alignment horizontal="center" vertical="center"/>
    </xf>
    <xf numFmtId="1" fontId="26" fillId="0" borderId="10" xfId="0" applyNumberFormat="1" applyFont="1" applyBorder="1" applyAlignment="1">
      <alignment horizontal="center" vertical="center"/>
    </xf>
    <xf numFmtId="0" fontId="27" fillId="3" borderId="20" xfId="4" applyNumberFormat="1" applyFont="1" applyFill="1" applyBorder="1" applyAlignment="1" applyProtection="1">
      <alignment vertical="top" wrapText="1"/>
    </xf>
    <xf numFmtId="1" fontId="26" fillId="0" borderId="19" xfId="0" applyNumberFormat="1" applyFont="1" applyBorder="1" applyAlignment="1">
      <alignment horizontal="center" vertical="center"/>
    </xf>
    <xf numFmtId="1" fontId="26" fillId="0" borderId="17" xfId="0" applyNumberFormat="1" applyFont="1" applyBorder="1" applyAlignment="1">
      <alignment horizontal="center" vertical="center"/>
    </xf>
    <xf numFmtId="0" fontId="27" fillId="3" borderId="0" xfId="4" applyNumberFormat="1" applyFont="1" applyFill="1" applyBorder="1" applyAlignment="1" applyProtection="1">
      <alignment vertical="top" wrapText="1"/>
    </xf>
    <xf numFmtId="164" fontId="29" fillId="3" borderId="7" xfId="3" applyNumberFormat="1" applyFont="1" applyFill="1" applyBorder="1" applyAlignment="1" applyProtection="1">
      <alignment horizontal="left"/>
    </xf>
    <xf numFmtId="164" fontId="29" fillId="3" borderId="11" xfId="3" applyNumberFormat="1" applyFont="1" applyFill="1" applyBorder="1" applyAlignment="1" applyProtection="1">
      <alignment horizontal="left"/>
    </xf>
    <xf numFmtId="164" fontId="26" fillId="0" borderId="14" xfId="0" applyNumberFormat="1" applyFont="1" applyBorder="1" applyAlignment="1">
      <alignment horizontal="center" vertical="center"/>
    </xf>
    <xf numFmtId="164" fontId="26" fillId="0" borderId="21" xfId="0" applyNumberFormat="1" applyFont="1" applyBorder="1" applyAlignment="1">
      <alignment horizontal="center" vertical="center"/>
    </xf>
    <xf numFmtId="164" fontId="29" fillId="3" borderId="0" xfId="3" applyNumberFormat="1" applyFont="1" applyFill="1" applyBorder="1" applyAlignment="1" applyProtection="1">
      <alignment horizontal="left"/>
    </xf>
    <xf numFmtId="0" fontId="31" fillId="0" borderId="0" xfId="0" applyFont="1"/>
    <xf numFmtId="0" fontId="26" fillId="0" borderId="3" xfId="7" applyFont="1" applyBorder="1" applyAlignment="1">
      <alignment horizontal="center" vertical="center"/>
    </xf>
    <xf numFmtId="0" fontId="32" fillId="3" borderId="0" xfId="4" applyNumberFormat="1" applyFont="1" applyFill="1" applyBorder="1" applyAlignment="1" applyProtection="1">
      <alignment horizontal="left"/>
    </xf>
    <xf numFmtId="164" fontId="33" fillId="3" borderId="0" xfId="3" applyNumberFormat="1" applyFont="1" applyFill="1" applyBorder="1" applyAlignment="1" applyProtection="1">
      <alignment horizontal="center"/>
    </xf>
    <xf numFmtId="1" fontId="34" fillId="0" borderId="0" xfId="7" applyNumberFormat="1" applyFont="1" applyBorder="1" applyAlignment="1">
      <alignment horizontal="center" vertical="center"/>
    </xf>
    <xf numFmtId="0" fontId="26" fillId="0" borderId="4" xfId="7" applyFont="1" applyBorder="1" applyAlignment="1">
      <alignment horizontal="center" vertical="center"/>
    </xf>
    <xf numFmtId="9" fontId="26" fillId="0" borderId="3" xfId="7" applyNumberFormat="1" applyFont="1" applyBorder="1" applyAlignment="1">
      <alignment horizontal="center" vertical="center"/>
    </xf>
    <xf numFmtId="9" fontId="26" fillId="0" borderId="25" xfId="7" applyNumberFormat="1" applyFont="1" applyBorder="1" applyAlignment="1">
      <alignment horizontal="center" vertical="center"/>
    </xf>
    <xf numFmtId="9" fontId="26" fillId="0" borderId="4" xfId="7" applyNumberFormat="1" applyFont="1" applyBorder="1" applyAlignment="1">
      <alignment horizontal="center" vertical="center"/>
    </xf>
    <xf numFmtId="0" fontId="25" fillId="5" borderId="0" xfId="1" applyFont="1" applyFill="1" applyBorder="1" applyAlignment="1">
      <alignment wrapText="1"/>
    </xf>
    <xf numFmtId="0" fontId="25" fillId="5" borderId="0" xfId="1" applyFont="1" applyFill="1" applyBorder="1" applyAlignment="1">
      <alignment horizontal="center" vertical="top"/>
    </xf>
    <xf numFmtId="0" fontId="27" fillId="3" borderId="11" xfId="4" applyNumberFormat="1" applyFont="1" applyFill="1" applyBorder="1" applyAlignment="1" applyProtection="1">
      <alignment horizontal="left" wrapText="1"/>
    </xf>
    <xf numFmtId="164" fontId="29" fillId="3" borderId="12" xfId="3" applyNumberFormat="1" applyFont="1" applyFill="1" applyBorder="1" applyAlignment="1" applyProtection="1">
      <alignment horizontal="center" vertical="center"/>
    </xf>
    <xf numFmtId="165" fontId="26" fillId="0" borderId="4" xfId="7" applyNumberFormat="1" applyFont="1" applyBorder="1" applyAlignment="1">
      <alignment horizontal="center" vertical="center"/>
    </xf>
    <xf numFmtId="0" fontId="35" fillId="0" borderId="0" xfId="7" applyFont="1" applyFill="1" applyBorder="1"/>
    <xf numFmtId="3" fontId="36" fillId="0" borderId="0" xfId="5" applyNumberFormat="1" applyFont="1" applyFill="1" applyBorder="1" applyAlignment="1" applyProtection="1">
      <alignment horizontal="center"/>
    </xf>
    <xf numFmtId="3" fontId="36" fillId="0" borderId="0" xfId="5" applyNumberFormat="1" applyFont="1" applyFill="1" applyBorder="1" applyAlignment="1" applyProtection="1">
      <alignment horizontal="right"/>
    </xf>
    <xf numFmtId="3" fontId="37" fillId="0" borderId="0" xfId="1" applyNumberFormat="1" applyFont="1" applyFill="1" applyBorder="1" applyAlignment="1">
      <alignment horizontal="right"/>
    </xf>
    <xf numFmtId="164" fontId="29" fillId="3" borderId="9" xfId="3" applyNumberFormat="1" applyFont="1" applyFill="1" applyBorder="1" applyAlignment="1" applyProtection="1">
      <alignment horizontal="center" vertical="center"/>
    </xf>
    <xf numFmtId="3" fontId="26" fillId="0" borderId="22" xfId="0" applyNumberFormat="1" applyFont="1" applyFill="1" applyBorder="1" applyAlignment="1">
      <alignment horizontal="center" vertical="center"/>
    </xf>
    <xf numFmtId="0" fontId="25" fillId="5" borderId="0" xfId="1" applyFont="1" applyFill="1" applyBorder="1" applyAlignment="1">
      <alignment horizontal="center" vertical="center"/>
    </xf>
    <xf numFmtId="164" fontId="29" fillId="3" borderId="14" xfId="3" applyNumberFormat="1" applyFont="1" applyFill="1" applyBorder="1" applyAlignment="1" applyProtection="1">
      <alignment horizontal="center"/>
    </xf>
    <xf numFmtId="164" fontId="29" fillId="3" borderId="21" xfId="3" applyNumberFormat="1" applyFont="1" applyFill="1" applyBorder="1" applyAlignment="1" applyProtection="1">
      <alignment horizontal="center"/>
    </xf>
    <xf numFmtId="164" fontId="26" fillId="0" borderId="0" xfId="0" applyNumberFormat="1" applyFont="1" applyBorder="1" applyAlignment="1">
      <alignment horizontal="center" vertical="center"/>
    </xf>
    <xf numFmtId="0" fontId="27" fillId="3" borderId="0" xfId="4" applyNumberFormat="1" applyFont="1" applyFill="1" applyBorder="1" applyAlignment="1" applyProtection="1">
      <alignment horizontal="left"/>
    </xf>
    <xf numFmtId="0" fontId="25" fillId="5" borderId="0" xfId="1" applyFont="1" applyFill="1" applyBorder="1" applyAlignment="1">
      <alignment horizontal="center" vertical="center"/>
    </xf>
    <xf numFmtId="0" fontId="25" fillId="5" borderId="0" xfId="1" applyFont="1" applyFill="1" applyBorder="1" applyAlignment="1">
      <alignment vertical="center"/>
    </xf>
    <xf numFmtId="164" fontId="29" fillId="3" borderId="14" xfId="3" applyNumberFormat="1" applyFont="1" applyFill="1" applyBorder="1" applyAlignment="1" applyProtection="1">
      <alignment horizontal="center" vertical="center"/>
    </xf>
    <xf numFmtId="164" fontId="29" fillId="3" borderId="21" xfId="3" applyNumberFormat="1" applyFont="1" applyFill="1" applyBorder="1" applyAlignment="1" applyProtection="1">
      <alignment horizontal="center" vertical="center"/>
    </xf>
    <xf numFmtId="0" fontId="0" fillId="0" borderId="0" xfId="0" applyAlignment="1">
      <alignment vertical="center"/>
    </xf>
    <xf numFmtId="9" fontId="26" fillId="0" borderId="0" xfId="0" applyNumberFormat="1" applyFont="1" applyBorder="1" applyAlignment="1">
      <alignment horizontal="center" vertical="center"/>
    </xf>
    <xf numFmtId="9" fontId="26" fillId="0" borderId="6" xfId="0" applyNumberFormat="1" applyFont="1" applyBorder="1" applyAlignment="1">
      <alignment horizontal="center" vertical="center"/>
    </xf>
    <xf numFmtId="167" fontId="26" fillId="0" borderId="0" xfId="0" applyNumberFormat="1" applyFont="1" applyBorder="1" applyAlignment="1">
      <alignment horizontal="center" vertical="center"/>
    </xf>
    <xf numFmtId="167" fontId="26" fillId="0" borderId="14" xfId="0" applyNumberFormat="1" applyFont="1" applyBorder="1" applyAlignment="1">
      <alignment horizontal="center" vertical="center"/>
    </xf>
    <xf numFmtId="167" fontId="26" fillId="0" borderId="21" xfId="0" applyNumberFormat="1" applyFont="1" applyBorder="1" applyAlignment="1">
      <alignment horizontal="center" vertical="center"/>
    </xf>
    <xf numFmtId="167" fontId="26" fillId="0" borderId="6" xfId="0" applyNumberFormat="1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164" fontId="29" fillId="3" borderId="0" xfId="3" applyNumberFormat="1" applyFont="1" applyFill="1" applyBorder="1" applyAlignment="1" applyProtection="1">
      <alignment horizontal="left"/>
    </xf>
    <xf numFmtId="0" fontId="38" fillId="2" borderId="0" xfId="1" applyFont="1" applyFill="1"/>
    <xf numFmtId="1" fontId="26" fillId="0" borderId="4" xfId="7" applyNumberFormat="1" applyFont="1" applyBorder="1" applyAlignment="1">
      <alignment horizontal="center" vertical="center"/>
    </xf>
    <xf numFmtId="166" fontId="26" fillId="0" borderId="8" xfId="0" applyNumberFormat="1" applyFont="1" applyFill="1" applyBorder="1" applyAlignment="1">
      <alignment horizontal="center" vertical="center"/>
    </xf>
    <xf numFmtId="166" fontId="26" fillId="0" borderId="10" xfId="0" applyNumberFormat="1" applyFont="1" applyFill="1" applyBorder="1" applyAlignment="1">
      <alignment horizontal="center" vertical="center"/>
    </xf>
    <xf numFmtId="164" fontId="40" fillId="0" borderId="8" xfId="0" applyNumberFormat="1" applyFont="1" applyBorder="1" applyAlignment="1">
      <alignment horizontal="center" vertical="center"/>
    </xf>
    <xf numFmtId="167" fontId="26" fillId="0" borderId="3" xfId="0" applyNumberFormat="1" applyFont="1" applyBorder="1" applyAlignment="1">
      <alignment horizontal="center" vertical="center"/>
    </xf>
    <xf numFmtId="167" fontId="26" fillId="0" borderId="4" xfId="0" applyNumberFormat="1" applyFont="1" applyBorder="1" applyAlignment="1">
      <alignment horizontal="center" vertical="center"/>
    </xf>
    <xf numFmtId="3" fontId="26" fillId="0" borderId="3" xfId="0" applyNumberFormat="1" applyFont="1" applyBorder="1" applyAlignment="1">
      <alignment horizontal="center" vertical="center"/>
    </xf>
    <xf numFmtId="3" fontId="39" fillId="0" borderId="28" xfId="0" applyNumberFormat="1" applyFont="1" applyBorder="1" applyAlignment="1">
      <alignment horizontal="center"/>
    </xf>
    <xf numFmtId="3" fontId="39" fillId="0" borderId="28" xfId="0" applyNumberFormat="1" applyFont="1" applyBorder="1" applyAlignment="1">
      <alignment horizontal="center" vertical="center"/>
    </xf>
    <xf numFmtId="9" fontId="26" fillId="0" borderId="3" xfId="0" applyNumberFormat="1" applyFont="1" applyBorder="1" applyAlignment="1">
      <alignment horizontal="center" vertical="center"/>
    </xf>
    <xf numFmtId="9" fontId="26" fillId="0" borderId="4" xfId="0" applyNumberFormat="1" applyFont="1" applyBorder="1" applyAlignment="1">
      <alignment horizontal="center" vertical="center"/>
    </xf>
    <xf numFmtId="164" fontId="26" fillId="0" borderId="3" xfId="0" applyNumberFormat="1" applyFont="1" applyBorder="1" applyAlignment="1">
      <alignment horizontal="center" vertical="center"/>
    </xf>
    <xf numFmtId="164" fontId="26" fillId="0" borderId="4" xfId="0" applyNumberFormat="1" applyFont="1" applyBorder="1" applyAlignment="1">
      <alignment horizontal="center" vertical="center"/>
    </xf>
    <xf numFmtId="3" fontId="40" fillId="0" borderId="8" xfId="0" applyNumberFormat="1" applyFont="1" applyFill="1" applyBorder="1" applyAlignment="1">
      <alignment horizontal="center" vertical="center"/>
    </xf>
    <xf numFmtId="3" fontId="26" fillId="0" borderId="8" xfId="0" applyNumberFormat="1" applyFont="1" applyFill="1" applyBorder="1" applyAlignment="1">
      <alignment horizontal="center" vertical="center"/>
    </xf>
    <xf numFmtId="164" fontId="40" fillId="0" borderId="8" xfId="0" applyNumberFormat="1" applyFont="1" applyFill="1" applyBorder="1" applyAlignment="1">
      <alignment horizontal="center" vertical="center"/>
    </xf>
    <xf numFmtId="164" fontId="40" fillId="0" borderId="10" xfId="0" applyNumberFormat="1" applyFont="1" applyFill="1" applyBorder="1" applyAlignment="1">
      <alignment horizontal="center" vertical="center"/>
    </xf>
    <xf numFmtId="0" fontId="40" fillId="0" borderId="3" xfId="7" applyFont="1" applyBorder="1" applyAlignment="1">
      <alignment horizontal="center" vertical="center"/>
    </xf>
    <xf numFmtId="9" fontId="41" fillId="0" borderId="3" xfId="7" applyNumberFormat="1" applyFont="1" applyBorder="1" applyAlignment="1">
      <alignment horizontal="center" vertical="center"/>
    </xf>
    <xf numFmtId="9" fontId="34" fillId="0" borderId="3" xfId="7" applyNumberFormat="1" applyFont="1" applyBorder="1" applyAlignment="1">
      <alignment horizontal="center" vertical="center"/>
    </xf>
    <xf numFmtId="0" fontId="26" fillId="0" borderId="3" xfId="7" applyFont="1" applyFill="1" applyBorder="1" applyAlignment="1">
      <alignment horizontal="center" vertical="center"/>
    </xf>
    <xf numFmtId="1" fontId="42" fillId="0" borderId="4" xfId="7" applyNumberFormat="1" applyFont="1" applyFill="1" applyBorder="1" applyAlignment="1">
      <alignment horizontal="center" vertical="center"/>
    </xf>
    <xf numFmtId="0" fontId="26" fillId="0" borderId="0" xfId="7" applyFont="1" applyBorder="1" applyAlignment="1">
      <alignment horizontal="center" vertical="center"/>
    </xf>
    <xf numFmtId="0" fontId="20" fillId="4" borderId="15" xfId="6" applyFont="1" applyFill="1" applyBorder="1" applyAlignment="1">
      <alignment horizontal="left" vertical="center"/>
    </xf>
    <xf numFmtId="0" fontId="20" fillId="4" borderId="5" xfId="6" applyFont="1" applyFill="1" applyBorder="1" applyAlignment="1">
      <alignment horizontal="left" vertical="center"/>
    </xf>
    <xf numFmtId="0" fontId="20" fillId="4" borderId="13" xfId="6" applyFont="1" applyFill="1" applyBorder="1" applyAlignment="1">
      <alignment horizontal="left" vertical="center"/>
    </xf>
    <xf numFmtId="2" fontId="26" fillId="0" borderId="8" xfId="0" applyNumberFormat="1" applyFont="1" applyBorder="1" applyAlignment="1">
      <alignment horizontal="center" vertical="center"/>
    </xf>
    <xf numFmtId="2" fontId="26" fillId="0" borderId="10" xfId="0" applyNumberFormat="1" applyFont="1" applyBorder="1" applyAlignment="1">
      <alignment horizontal="center" vertical="center"/>
    </xf>
    <xf numFmtId="2" fontId="40" fillId="0" borderId="8" xfId="0" applyNumberFormat="1" applyFont="1" applyFill="1" applyBorder="1" applyAlignment="1">
      <alignment horizontal="center" vertical="center"/>
    </xf>
    <xf numFmtId="2" fontId="40" fillId="0" borderId="10" xfId="0" applyNumberFormat="1" applyFont="1" applyFill="1" applyBorder="1" applyAlignment="1">
      <alignment horizontal="center" vertical="center"/>
    </xf>
    <xf numFmtId="164" fontId="29" fillId="3" borderId="0" xfId="3" applyNumberFormat="1" applyFont="1" applyFill="1" applyBorder="1" applyAlignment="1" applyProtection="1">
      <alignment horizontal="left"/>
    </xf>
    <xf numFmtId="164" fontId="29" fillId="3" borderId="8" xfId="3" applyNumberFormat="1" applyFont="1" applyFill="1" applyBorder="1" applyAlignment="1" applyProtection="1">
      <alignment horizontal="left"/>
    </xf>
    <xf numFmtId="0" fontId="26" fillId="0" borderId="18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2" fontId="26" fillId="0" borderId="14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2" fontId="26" fillId="0" borderId="6" xfId="0" applyNumberFormat="1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164" fontId="29" fillId="3" borderId="21" xfId="3" applyNumberFormat="1" applyFont="1" applyFill="1" applyBorder="1" applyAlignment="1" applyProtection="1">
      <alignment horizontal="left"/>
    </xf>
    <xf numFmtId="164" fontId="29" fillId="3" borderId="10" xfId="3" applyNumberFormat="1" applyFont="1" applyFill="1" applyBorder="1" applyAlignment="1" applyProtection="1">
      <alignment horizontal="left"/>
    </xf>
    <xf numFmtId="0" fontId="27" fillId="3" borderId="1" xfId="4" applyNumberFormat="1" applyFont="1" applyFill="1" applyBorder="1" applyAlignment="1" applyProtection="1">
      <alignment horizontal="left" wrapText="1"/>
    </xf>
    <xf numFmtId="0" fontId="27" fillId="3" borderId="8" xfId="4" applyNumberFormat="1" applyFont="1" applyFill="1" applyBorder="1" applyAlignment="1" applyProtection="1">
      <alignment horizontal="left" wrapText="1"/>
    </xf>
    <xf numFmtId="0" fontId="27" fillId="3" borderId="26" xfId="4" applyNumberFormat="1" applyFont="1" applyFill="1" applyBorder="1" applyAlignment="1" applyProtection="1">
      <alignment horizontal="left" wrapText="1"/>
    </xf>
    <xf numFmtId="0" fontId="27" fillId="3" borderId="10" xfId="4" applyNumberFormat="1" applyFont="1" applyFill="1" applyBorder="1" applyAlignment="1" applyProtection="1">
      <alignment horizontal="left" wrapText="1"/>
    </xf>
    <xf numFmtId="0" fontId="27" fillId="3" borderId="16" xfId="4" applyNumberFormat="1" applyFont="1" applyFill="1" applyBorder="1" applyAlignment="1" applyProtection="1">
      <alignment horizontal="left" vertical="top" wrapText="1"/>
    </xf>
    <xf numFmtId="0" fontId="27" fillId="3" borderId="7" xfId="4" applyNumberFormat="1" applyFont="1" applyFill="1" applyBorder="1" applyAlignment="1" applyProtection="1">
      <alignment horizontal="left" vertical="top" wrapText="1"/>
    </xf>
    <xf numFmtId="0" fontId="27" fillId="3" borderId="11" xfId="4" applyNumberFormat="1" applyFont="1" applyFill="1" applyBorder="1" applyAlignment="1" applyProtection="1">
      <alignment horizontal="left" vertical="top" wrapText="1"/>
    </xf>
    <xf numFmtId="0" fontId="27" fillId="3" borderId="27" xfId="4" applyNumberFormat="1" applyFont="1" applyFill="1" applyBorder="1" applyAlignment="1" applyProtection="1">
      <alignment horizontal="left" wrapText="1"/>
    </xf>
    <xf numFmtId="0" fontId="27" fillId="3" borderId="17" xfId="4" applyNumberFormat="1" applyFont="1" applyFill="1" applyBorder="1" applyAlignment="1" applyProtection="1">
      <alignment horizontal="left" wrapText="1"/>
    </xf>
    <xf numFmtId="0" fontId="27" fillId="3" borderId="1" xfId="4" applyNumberFormat="1" applyFont="1" applyFill="1" applyBorder="1" applyAlignment="1" applyProtection="1">
      <alignment horizontal="left" vertical="top" wrapText="1"/>
    </xf>
    <xf numFmtId="0" fontId="27" fillId="3" borderId="8" xfId="4" applyNumberFormat="1" applyFont="1" applyFill="1" applyBorder="1" applyAlignment="1" applyProtection="1">
      <alignment horizontal="left" vertical="top" wrapText="1"/>
    </xf>
    <xf numFmtId="2" fontId="26" fillId="0" borderId="21" xfId="0" applyNumberFormat="1" applyFont="1" applyBorder="1" applyAlignment="1">
      <alignment horizontal="center" vertical="center"/>
    </xf>
    <xf numFmtId="0" fontId="35" fillId="0" borderId="0" xfId="7" applyFont="1" applyFill="1" applyBorder="1" applyAlignment="1">
      <alignment wrapText="1"/>
    </xf>
    <xf numFmtId="0" fontId="31" fillId="0" borderId="0" xfId="0" applyFont="1" applyAlignment="1">
      <alignment wrapText="1"/>
    </xf>
  </cellXfs>
  <cellStyles count="8">
    <cellStyle name="fa_column_header_empty" xfId="2"/>
    <cellStyle name="fa_data_standard_0_grouped" xfId="5"/>
    <cellStyle name="fa_row_header_bold 2" xfId="4"/>
    <cellStyle name="fa_row_header_standard 2" xfId="3"/>
    <cellStyle name="Гиперссылка" xfId="6" builtinId="8"/>
    <cellStyle name="Обычный" xfId="0" builtinId="0"/>
    <cellStyle name="Обычный 2" xfId="1"/>
    <cellStyle name="Обычный 3" xfId="7"/>
  </cellStyles>
  <dxfs count="0"/>
  <tableStyles count="0" defaultTableStyle="TableStyleMedium2" defaultPivotStyle="PivotStyleLight16"/>
  <colors>
    <mruColors>
      <color rgb="FF5B9BD5"/>
      <color rgb="FF2176C3"/>
      <color rgb="FF2175C1"/>
      <color rgb="FF0099FF"/>
      <color rgb="FF207DCF"/>
      <color rgb="FF336699"/>
      <color rgb="FF6D94C3"/>
      <color rgb="FF0099CC"/>
      <color rgb="FF3399FF"/>
      <color rgb="FF00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333375</xdr:colOff>
      <xdr:row>0</xdr:row>
      <xdr:rowOff>104775</xdr:rowOff>
    </xdr:from>
    <xdr:to>
      <xdr:col>10</xdr:col>
      <xdr:colOff>247650</xdr:colOff>
      <xdr:row>5</xdr:row>
      <xdr:rowOff>104775</xdr:rowOff>
    </xdr:to>
    <xdr:pic>
      <xdr:nvPicPr>
        <xdr:cNvPr id="4" name="Рисунок 3" descr="https://www.phosagro.com/bitrix/templates/main/images/logo_eng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52950" y="104775"/>
          <a:ext cx="1133475" cy="1133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13607</xdr:colOff>
      <xdr:row>0</xdr:row>
      <xdr:rowOff>33844</xdr:rowOff>
    </xdr:from>
    <xdr:to>
      <xdr:col>2</xdr:col>
      <xdr:colOff>675458</xdr:colOff>
      <xdr:row>3</xdr:row>
      <xdr:rowOff>13304</xdr:rowOff>
    </xdr:to>
    <xdr:pic>
      <xdr:nvPicPr>
        <xdr:cNvPr id="2" name="Рисунок 1" descr="C:\Users\AlekseenkoVV\Documents\РАБОЧИЙ СТОЛ\ВНУТРЕННИЕ ДОКУМЕНТЫ\BRANDBOOK NN_2016\ЛОГОПИТ 2016\Logoblocks\NORNICKEL_logoblock_main_1color_inv_rus_preview.jpg" hidden="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07" y="100519"/>
          <a:ext cx="838685" cy="559243"/>
        </a:xfrm>
        <a:prstGeom prst="rect">
          <a:avLst/>
        </a:prstGeom>
        <a:solidFill>
          <a:srgbClr val="0099FF"/>
        </a:solidFill>
        <a:ln>
          <a:noFill/>
        </a:ln>
      </xdr:spPr>
    </xdr:pic>
    <xdr:clientData/>
  </xdr:twoCellAnchor>
  <xdr:twoCellAnchor editAs="oneCell">
    <xdr:from>
      <xdr:col>0</xdr:col>
      <xdr:colOff>95251</xdr:colOff>
      <xdr:row>0</xdr:row>
      <xdr:rowOff>57150</xdr:rowOff>
    </xdr:from>
    <xdr:to>
      <xdr:col>0</xdr:col>
      <xdr:colOff>790575</xdr:colOff>
      <xdr:row>3</xdr:row>
      <xdr:rowOff>152399</xdr:rowOff>
    </xdr:to>
    <xdr:pic>
      <xdr:nvPicPr>
        <xdr:cNvPr id="5" name="Рисунок 4" descr="https://www.phosagro.com/bitrix/templates/main/images/logo_eng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1" y="57150"/>
          <a:ext cx="695324" cy="6953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13607</xdr:colOff>
      <xdr:row>0</xdr:row>
      <xdr:rowOff>0</xdr:rowOff>
    </xdr:from>
    <xdr:to>
      <xdr:col>2</xdr:col>
      <xdr:colOff>675458</xdr:colOff>
      <xdr:row>2</xdr:row>
      <xdr:rowOff>196976</xdr:rowOff>
    </xdr:to>
    <xdr:pic>
      <xdr:nvPicPr>
        <xdr:cNvPr id="2" name="Рисунок 1" descr="C:\Users\AlekseenkoVV\Documents\РАБОЧИЙ СТОЛ\ВНУТРЕННИЕ ДОКУМЕНТЫ\BRANDBOOK NN_2016\ЛОГОПИТ 2016\Logoblocks\NORNICKEL_logoblock_main_1color_inv_rus_preview.jpg" hidden="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07" y="33844"/>
          <a:ext cx="5005251" cy="579535"/>
        </a:xfrm>
        <a:prstGeom prst="rect">
          <a:avLst/>
        </a:prstGeom>
        <a:solidFill>
          <a:srgbClr val="0099FF"/>
        </a:solidFill>
        <a:ln>
          <a:noFill/>
        </a:ln>
      </xdr:spPr>
    </xdr:pic>
    <xdr:clientData/>
  </xdr:twoCellAnchor>
  <xdr:oneCellAnchor>
    <xdr:from>
      <xdr:col>0</xdr:col>
      <xdr:colOff>13607</xdr:colOff>
      <xdr:row>60</xdr:row>
      <xdr:rowOff>0</xdr:rowOff>
    </xdr:from>
    <xdr:ext cx="5008715" cy="585596"/>
    <xdr:pic>
      <xdr:nvPicPr>
        <xdr:cNvPr id="5" name="Рисунок 4" descr="C:\Users\AlekseenkoVV\Documents\РАБОЧИЙ СТОЛ\ВНУТРЕННИЕ ДОКУМЕНТЫ\BRANDBOOK NN_2016\ЛОГОПИТ 2016\Logoblocks\NORNICKEL_logoblock_main_1color_inv_rus_preview.jpg" hidden="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07" y="0"/>
          <a:ext cx="5008715" cy="585596"/>
        </a:xfrm>
        <a:prstGeom prst="rect">
          <a:avLst/>
        </a:prstGeom>
        <a:solidFill>
          <a:srgbClr val="0099FF"/>
        </a:solidFill>
        <a:ln>
          <a:noFill/>
        </a:ln>
      </xdr:spPr>
    </xdr:pic>
    <xdr:clientData/>
  </xdr:oneCellAnchor>
  <xdr:twoCellAnchor editAs="oneCell">
    <xdr:from>
      <xdr:col>0</xdr:col>
      <xdr:colOff>76200</xdr:colOff>
      <xdr:row>1</xdr:row>
      <xdr:rowOff>47625</xdr:rowOff>
    </xdr:from>
    <xdr:to>
      <xdr:col>0</xdr:col>
      <xdr:colOff>771524</xdr:colOff>
      <xdr:row>4</xdr:row>
      <xdr:rowOff>142874</xdr:rowOff>
    </xdr:to>
    <xdr:pic>
      <xdr:nvPicPr>
        <xdr:cNvPr id="6" name="Рисунок 5" descr="https://www.phosagro.com/bitrix/templates/main/images/logo_eng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38125"/>
          <a:ext cx="695324" cy="6953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123825</xdr:rowOff>
    </xdr:from>
    <xdr:to>
      <xdr:col>0</xdr:col>
      <xdr:colOff>781049</xdr:colOff>
      <xdr:row>4</xdr:row>
      <xdr:rowOff>9524</xdr:rowOff>
    </xdr:to>
    <xdr:pic>
      <xdr:nvPicPr>
        <xdr:cNvPr id="5" name="Рисунок 4" descr="https://www.phosagro.com/bitrix/templates/main/images/logo_eng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23825"/>
          <a:ext cx="695324" cy="6953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104775</xdr:colOff>
      <xdr:row>21</xdr:row>
      <xdr:rowOff>38100</xdr:rowOff>
    </xdr:from>
    <xdr:to>
      <xdr:col>0</xdr:col>
      <xdr:colOff>800099</xdr:colOff>
      <xdr:row>24</xdr:row>
      <xdr:rowOff>133349</xdr:rowOff>
    </xdr:to>
    <xdr:pic>
      <xdr:nvPicPr>
        <xdr:cNvPr id="6" name="Рисунок 5" descr="https://www.phosagro.com/bitrix/templates/main/images/logo_eng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4086225"/>
          <a:ext cx="695324" cy="6953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47625</xdr:rowOff>
    </xdr:from>
    <xdr:to>
      <xdr:col>0</xdr:col>
      <xdr:colOff>809624</xdr:colOff>
      <xdr:row>3</xdr:row>
      <xdr:rowOff>142874</xdr:rowOff>
    </xdr:to>
    <xdr:pic>
      <xdr:nvPicPr>
        <xdr:cNvPr id="3" name="Рисунок 2" descr="https://www.phosagro.com/bitrix/templates/main/images/logo_eng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47625"/>
          <a:ext cx="695324" cy="6953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rkovskaya-os\&#1090;&#1072;&#1090;&#1100;&#1103;&#1085;&#1072;\U%20K\1999\Daisy\Cambridge\models\integrated%20merger%20mode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rkovskaya-os\&#1090;&#1072;&#1090;&#1100;&#1103;&#1085;&#1072;\data\Paper%20&amp;%20Forest\Comps\extra%20pag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TOC"/>
      <sheetName val="Assum"/>
      <sheetName val="sense"/>
      <sheetName val="disp"/>
      <sheetName val="Op-BS"/>
      <sheetName val="IS"/>
      <sheetName val="BSCF"/>
      <sheetName val="Ratios"/>
      <sheetName val="Matrix"/>
      <sheetName val="Contrib"/>
      <sheetName val="proforma"/>
      <sheetName val="AlbanyIS"/>
      <sheetName val="AlbanyBSCF"/>
      <sheetName val="AlbanyRat"/>
      <sheetName val="CambridgeIS"/>
      <sheetName val="CambridgeBSCF"/>
      <sheetName val="CambridgeRat"/>
      <sheetName val="LBO"/>
      <sheetName val="Лист7"/>
      <sheetName val="ЧПД и ВНД СПУ"/>
      <sheetName val="NLMK-EU-Strip"/>
      <sheetName val="NLMK-EU-Strip  (2)"/>
      <sheetName val="NLMK-EU-Plate  (2)"/>
      <sheetName val="План счетов PL"/>
      <sheetName val="План счетов BS"/>
      <sheetName val="ДКИС"/>
      <sheetName val="Список направлений "/>
      <sheetName val="Pick Lists"/>
      <sheetName val="исход. дан."/>
      <sheetName val="Лист1"/>
      <sheetName val="Лист2"/>
      <sheetName val="Лист3"/>
      <sheetName val="NLMK-USA-MT"/>
      <sheetName val="ЧПД_и_ВНД_СПУ"/>
      <sheetName val="NLMK-EU-Strip__(2)"/>
      <sheetName val="NLMK-EU-Plate__(2)"/>
      <sheetName val="План_счетов_PL"/>
      <sheetName val="План_счетов_BS"/>
      <sheetName val="Список_направлений_"/>
      <sheetName val="DATA-ACT"/>
      <sheetName val="GUBT"/>
      <sheetName val="DATA-BDG"/>
      <sheetName val="IV_Blok"/>
      <sheetName val="себест_OZR"/>
      <sheetName val="SUMMARY"/>
      <sheetName val="Тепло"/>
      <sheetName val="#ССЫЛКА"/>
      <sheetName val="Lighting"/>
      <sheetName val="Others"/>
      <sheetName val="Cover"/>
      <sheetName val="Choiсe"/>
      <sheetName val="Kr-Xe"/>
      <sheetName val="Sens"/>
      <sheetName val="Частотники"/>
      <sheetName val="Waste_gas"/>
      <sheetName val="Производство"/>
      <sheetName val="КалькуляцияТСЦ"/>
      <sheetName val="КалькуляцияЖДЦ"/>
      <sheetName val="КалькуляцияРСЦ"/>
      <sheetName val="КалькуляцияЦТТ"/>
      <sheetName val="КалькуляцияДОФ"/>
      <sheetName val="КалькуляцияРудник"/>
      <sheetName val="КалькуляцияОбщезав_2"/>
      <sheetName val="Баланс"/>
      <sheetName val="Общие_показатели1"/>
      <sheetName val="Калькуляция_по_цехам1"/>
      <sheetName val="Реализация"/>
      <sheetName val="Общая_смета_затрат1"/>
      <sheetName val="список стран_тип командировок"/>
      <sheetName val="МВЗ"/>
      <sheetName val="2013"/>
      <sheetName val="динамика расходов"/>
      <sheetName val="АНЛИЗ МЕТИЗ"/>
      <sheetName val="Справочник"/>
      <sheetName val="Справочник МВЗ"/>
      <sheetName val="HSS"/>
      <sheetName val="БД"/>
      <sheetName val="!"/>
      <sheetName val="выпадающие списки"/>
      <sheetName val="выпад. списки"/>
      <sheetName val="CONTENTS"/>
    </sheetNames>
    <sheetDataSet>
      <sheetData sheetId="0" refreshError="1"/>
      <sheetData sheetId="1" refreshError="1"/>
      <sheetData sheetId="2" refreshError="1">
        <row r="13">
          <cell r="E13">
            <v>240.5</v>
          </cell>
        </row>
        <row r="14">
          <cell r="E14">
            <v>10.908587000000001</v>
          </cell>
        </row>
        <row r="16">
          <cell r="E16">
            <v>691.37361425000006</v>
          </cell>
        </row>
        <row r="18">
          <cell r="E18">
            <v>249.1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>
        <row r="12">
          <cell r="B12" t="str">
            <v>9010</v>
          </cell>
        </row>
      </sheetData>
      <sheetData sheetId="31">
        <row r="12">
          <cell r="B12" t="str">
            <v>9010</v>
          </cell>
        </row>
      </sheetData>
      <sheetData sheetId="32">
        <row r="12">
          <cell r="B12" t="str">
            <v>9010</v>
          </cell>
        </row>
      </sheetData>
      <sheetData sheetId="33" refreshError="1"/>
      <sheetData sheetId="34">
        <row r="12">
          <cell r="B12" t="str">
            <v>9010</v>
          </cell>
        </row>
      </sheetData>
      <sheetData sheetId="35">
        <row r="12">
          <cell r="B12" t="str">
            <v>9010</v>
          </cell>
        </row>
      </sheetData>
      <sheetData sheetId="36">
        <row r="12">
          <cell r="B12" t="str">
            <v>9010</v>
          </cell>
        </row>
      </sheetData>
      <sheetData sheetId="37">
        <row r="12">
          <cell r="B12" t="str">
            <v>9010</v>
          </cell>
        </row>
      </sheetData>
      <sheetData sheetId="38">
        <row r="12">
          <cell r="B12" t="str">
            <v>9010</v>
          </cell>
        </row>
      </sheetData>
      <sheetData sheetId="39">
        <row r="12">
          <cell r="B12" t="str">
            <v>9010</v>
          </cell>
        </row>
      </sheetData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O"/>
      <sheetName val="WP Market Capitalization"/>
      <sheetName val="WP Output-change ytd"/>
      <sheetName val="WP Output-Price volatility"/>
      <sheetName val="Comps"/>
      <sheetName val="Mkt Cap"/>
      <sheetName val="WACC"/>
      <sheetName val="Calc"/>
      <sheetName val="CGS per Ton"/>
      <sheetName val="Sales"/>
      <sheetName val="Price"/>
      <sheetName val="Р2"/>
      <sheetName val="KBC-1996-500 MBEF-échéancier"/>
      <sheetName val="Summary"/>
      <sheetName val="исход. дан."/>
      <sheetName val="Template"/>
      <sheetName val="DATA-ACT"/>
      <sheetName val="DATA-BDG"/>
      <sheetName val="Cover"/>
      <sheetName val="паспорт"/>
      <sheetName val="Структура"/>
      <sheetName val="Справочник МВЗ"/>
      <sheetName val="Поддержка"/>
      <sheetName val="исх. дан."/>
      <sheetName val="исх.данны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Analysis of Valuation Multiples of Comparable Flat-Rolled Steel Companies</v>
          </cell>
        </row>
        <row r="2">
          <cell r="A2" t="str">
            <v>Public Market Multiples Including Pension Liabilities and OPEBs</v>
          </cell>
        </row>
        <row r="5">
          <cell r="L5" t="str">
            <v>Market Value of Equity as a Multiple of: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 t="str">
            <v>Market Capitalization as a Multiple of:</v>
          </cell>
        </row>
        <row r="6">
          <cell r="J6" t="str">
            <v>Adj.</v>
          </cell>
          <cell r="K6">
            <v>0</v>
          </cell>
          <cell r="L6" t="str">
            <v>LTM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 t="str">
            <v>LTM</v>
          </cell>
        </row>
        <row r="7">
          <cell r="D7" t="str">
            <v>Price</v>
          </cell>
          <cell r="E7">
            <v>0</v>
          </cell>
          <cell r="F7" t="str">
            <v>Market</v>
          </cell>
          <cell r="G7">
            <v>0</v>
          </cell>
          <cell r="H7" t="str">
            <v>Market</v>
          </cell>
          <cell r="I7">
            <v>0</v>
          </cell>
          <cell r="J7" t="str">
            <v>Market</v>
          </cell>
          <cell r="K7">
            <v>0</v>
          </cell>
          <cell r="L7" t="str">
            <v>Net to</v>
          </cell>
          <cell r="M7">
            <v>0</v>
          </cell>
          <cell r="N7" t="str">
            <v>1999E</v>
          </cell>
          <cell r="O7">
            <v>0</v>
          </cell>
          <cell r="P7" t="str">
            <v>2000E</v>
          </cell>
          <cell r="Q7">
            <v>0</v>
          </cell>
          <cell r="R7" t="str">
            <v>Cash</v>
          </cell>
          <cell r="S7">
            <v>0</v>
          </cell>
          <cell r="T7" t="str">
            <v>LFQ</v>
          </cell>
          <cell r="U7">
            <v>0</v>
          </cell>
          <cell r="V7" t="str">
            <v>LTM</v>
          </cell>
          <cell r="W7">
            <v>0</v>
          </cell>
          <cell r="X7" t="str">
            <v>LTM</v>
          </cell>
          <cell r="Y7">
            <v>0</v>
          </cell>
          <cell r="Z7" t="str">
            <v>LTM</v>
          </cell>
        </row>
        <row r="8">
          <cell r="A8" t="str">
            <v>Company</v>
          </cell>
          <cell r="B8">
            <v>0</v>
          </cell>
          <cell r="C8">
            <v>0</v>
          </cell>
          <cell r="D8" t="str">
            <v>Sep-13-99</v>
          </cell>
          <cell r="E8">
            <v>0</v>
          </cell>
          <cell r="F8" t="str">
            <v>Value</v>
          </cell>
          <cell r="G8">
            <v>0</v>
          </cell>
          <cell r="H8" t="str">
            <v>Cap. (a)</v>
          </cell>
          <cell r="I8">
            <v>0</v>
          </cell>
          <cell r="J8" t="str">
            <v>Cap. (b)</v>
          </cell>
          <cell r="K8">
            <v>0</v>
          </cell>
          <cell r="L8" t="str">
            <v>Common</v>
          </cell>
          <cell r="M8">
            <v>0</v>
          </cell>
          <cell r="N8" t="str">
            <v>EPS. (c)</v>
          </cell>
          <cell r="O8">
            <v>0</v>
          </cell>
          <cell r="P8" t="str">
            <v>EPS (c)</v>
          </cell>
          <cell r="Q8">
            <v>0</v>
          </cell>
          <cell r="R8" t="str">
            <v>Flow (d)</v>
          </cell>
          <cell r="S8">
            <v>0</v>
          </cell>
          <cell r="T8" t="str">
            <v>Equity</v>
          </cell>
          <cell r="U8">
            <v>0</v>
          </cell>
          <cell r="V8" t="str">
            <v>Sales</v>
          </cell>
          <cell r="W8">
            <v>0</v>
          </cell>
          <cell r="X8" t="str">
            <v>EBITDA</v>
          </cell>
          <cell r="Y8">
            <v>0</v>
          </cell>
          <cell r="Z8" t="str">
            <v>EBIT</v>
          </cell>
        </row>
        <row r="11">
          <cell r="A11" t="str">
            <v>Company Name</v>
          </cell>
          <cell r="B11">
            <v>0</v>
          </cell>
          <cell r="C11">
            <v>0</v>
          </cell>
          <cell r="D11" t="e">
            <v>#NAME?</v>
          </cell>
          <cell r="E11">
            <v>0</v>
          </cell>
          <cell r="F11">
            <v>1210.4707062500001</v>
          </cell>
          <cell r="G11">
            <v>0</v>
          </cell>
          <cell r="H11">
            <v>1210.4707062500001</v>
          </cell>
          <cell r="I11">
            <v>0</v>
          </cell>
          <cell r="J11" t="e">
            <v>#REF!</v>
          </cell>
          <cell r="K11">
            <v>0</v>
          </cell>
          <cell r="L11" t="e">
            <v>#REF!</v>
          </cell>
          <cell r="M11">
            <v>0</v>
          </cell>
          <cell r="N11" t="e">
            <v>#REF!</v>
          </cell>
          <cell r="O11">
            <v>0</v>
          </cell>
          <cell r="P11" t="e">
            <v>#REF!</v>
          </cell>
          <cell r="Q11">
            <v>0</v>
          </cell>
          <cell r="R11" t="e">
            <v>#REF!</v>
          </cell>
          <cell r="S11">
            <v>0</v>
          </cell>
          <cell r="T11" t="e">
            <v>#REF!</v>
          </cell>
          <cell r="U11">
            <v>0</v>
          </cell>
          <cell r="V11" t="e">
            <v>#REF!</v>
          </cell>
          <cell r="W11">
            <v>0</v>
          </cell>
          <cell r="X11" t="e">
            <v>#REF!</v>
          </cell>
          <cell r="Y11">
            <v>0</v>
          </cell>
          <cell r="Z11" t="e">
            <v>#REF!</v>
          </cell>
        </row>
        <row r="12">
          <cell r="A12" t="e">
            <v>#REF!</v>
          </cell>
          <cell r="B12">
            <v>0</v>
          </cell>
          <cell r="C12">
            <v>0</v>
          </cell>
          <cell r="D12" t="e">
            <v>#REF!</v>
          </cell>
          <cell r="E12">
            <v>0</v>
          </cell>
          <cell r="F12" t="e">
            <v>#REF!</v>
          </cell>
          <cell r="G12">
            <v>0</v>
          </cell>
          <cell r="H12" t="e">
            <v>#REF!</v>
          </cell>
          <cell r="I12">
            <v>0</v>
          </cell>
          <cell r="J12" t="e">
            <v>#REF!</v>
          </cell>
          <cell r="K12">
            <v>0</v>
          </cell>
          <cell r="L12" t="e">
            <v>#REF!</v>
          </cell>
          <cell r="M12">
            <v>0</v>
          </cell>
          <cell r="N12" t="e">
            <v>#REF!</v>
          </cell>
          <cell r="O12">
            <v>0</v>
          </cell>
          <cell r="P12" t="e">
            <v>#REF!</v>
          </cell>
          <cell r="Q12" t="str">
            <v>*</v>
          </cell>
          <cell r="R12" t="e">
            <v>#REF!</v>
          </cell>
          <cell r="S12">
            <v>0</v>
          </cell>
          <cell r="T12" t="e">
            <v>#REF!</v>
          </cell>
          <cell r="U12">
            <v>0</v>
          </cell>
          <cell r="V12" t="e">
            <v>#REF!</v>
          </cell>
          <cell r="W12">
            <v>0</v>
          </cell>
          <cell r="X12" t="e">
            <v>#REF!</v>
          </cell>
          <cell r="Y12" t="str">
            <v>*</v>
          </cell>
          <cell r="Z12" t="e">
            <v>#REF!</v>
          </cell>
        </row>
        <row r="13">
          <cell r="A13" t="e">
            <v>#REF!</v>
          </cell>
          <cell r="B13">
            <v>0</v>
          </cell>
          <cell r="C13">
            <v>0</v>
          </cell>
          <cell r="D13" t="e">
            <v>#REF!</v>
          </cell>
          <cell r="E13">
            <v>0</v>
          </cell>
          <cell r="F13" t="e">
            <v>#REF!</v>
          </cell>
          <cell r="G13">
            <v>0</v>
          </cell>
          <cell r="H13" t="e">
            <v>#REF!</v>
          </cell>
          <cell r="I13">
            <v>0</v>
          </cell>
          <cell r="J13" t="e">
            <v>#REF!</v>
          </cell>
          <cell r="K13">
            <v>0</v>
          </cell>
          <cell r="L13" t="e">
            <v>#REF!</v>
          </cell>
          <cell r="M13">
            <v>0</v>
          </cell>
          <cell r="N13" t="e">
            <v>#REF!</v>
          </cell>
          <cell r="O13">
            <v>0</v>
          </cell>
          <cell r="P13" t="e">
            <v>#REF!</v>
          </cell>
          <cell r="Q13">
            <v>0</v>
          </cell>
          <cell r="R13" t="e">
            <v>#REF!</v>
          </cell>
          <cell r="S13">
            <v>0</v>
          </cell>
          <cell r="T13" t="e">
            <v>#REF!</v>
          </cell>
          <cell r="U13">
            <v>0</v>
          </cell>
          <cell r="V13" t="e">
            <v>#REF!</v>
          </cell>
          <cell r="W13">
            <v>0</v>
          </cell>
          <cell r="X13" t="e">
            <v>#REF!</v>
          </cell>
          <cell r="Y13">
            <v>0</v>
          </cell>
          <cell r="Z13" t="e">
            <v>#REF!</v>
          </cell>
          <cell r="AA13" t="str">
            <v>*</v>
          </cell>
        </row>
        <row r="14">
          <cell r="A14" t="e">
            <v>#REF!</v>
          </cell>
          <cell r="B14">
            <v>0</v>
          </cell>
          <cell r="C14">
            <v>0</v>
          </cell>
          <cell r="D14" t="e">
            <v>#REF!</v>
          </cell>
          <cell r="E14">
            <v>0</v>
          </cell>
          <cell r="F14" t="e">
            <v>#REF!</v>
          </cell>
          <cell r="G14">
            <v>0</v>
          </cell>
          <cell r="H14" t="e">
            <v>#REF!</v>
          </cell>
          <cell r="I14">
            <v>0</v>
          </cell>
          <cell r="J14" t="e">
            <v>#REF!</v>
          </cell>
          <cell r="K14">
            <v>0</v>
          </cell>
          <cell r="L14" t="e">
            <v>#REF!</v>
          </cell>
          <cell r="M14">
            <v>0</v>
          </cell>
          <cell r="N14" t="e">
            <v>#REF!</v>
          </cell>
          <cell r="O14">
            <v>0</v>
          </cell>
          <cell r="P14" t="e">
            <v>#REF!</v>
          </cell>
          <cell r="Q14">
            <v>0</v>
          </cell>
          <cell r="R14" t="e">
            <v>#REF!</v>
          </cell>
          <cell r="S14">
            <v>0</v>
          </cell>
          <cell r="T14" t="e">
            <v>#REF!</v>
          </cell>
          <cell r="U14">
            <v>0</v>
          </cell>
          <cell r="V14" t="e">
            <v>#REF!</v>
          </cell>
          <cell r="W14">
            <v>0</v>
          </cell>
          <cell r="X14" t="e">
            <v>#REF!</v>
          </cell>
          <cell r="Y14">
            <v>0</v>
          </cell>
          <cell r="Z14" t="e">
            <v>#REF!</v>
          </cell>
        </row>
        <row r="15">
          <cell r="A15" t="e">
            <v>#REF!</v>
          </cell>
          <cell r="B15">
            <v>0</v>
          </cell>
          <cell r="C15">
            <v>0</v>
          </cell>
          <cell r="D15" t="e">
            <v>#REF!</v>
          </cell>
          <cell r="E15">
            <v>0</v>
          </cell>
          <cell r="F15" t="e">
            <v>#REF!</v>
          </cell>
          <cell r="G15">
            <v>0</v>
          </cell>
          <cell r="H15" t="e">
            <v>#REF!</v>
          </cell>
          <cell r="I15">
            <v>0</v>
          </cell>
          <cell r="J15" t="e">
            <v>#REF!</v>
          </cell>
          <cell r="K15">
            <v>0</v>
          </cell>
          <cell r="L15" t="e">
            <v>#REF!</v>
          </cell>
          <cell r="M15">
            <v>0</v>
          </cell>
          <cell r="N15" t="e">
            <v>#REF!</v>
          </cell>
          <cell r="O15">
            <v>0</v>
          </cell>
          <cell r="P15" t="e">
            <v>#REF!</v>
          </cell>
          <cell r="Q15">
            <v>0</v>
          </cell>
          <cell r="R15" t="e">
            <v>#REF!</v>
          </cell>
          <cell r="S15">
            <v>0</v>
          </cell>
          <cell r="T15" t="e">
            <v>#REF!</v>
          </cell>
          <cell r="U15">
            <v>0</v>
          </cell>
          <cell r="V15" t="e">
            <v>#REF!</v>
          </cell>
          <cell r="W15">
            <v>0</v>
          </cell>
          <cell r="X15" t="e">
            <v>#REF!</v>
          </cell>
          <cell r="Y15">
            <v>0</v>
          </cell>
          <cell r="Z15" t="e">
            <v>#REF!</v>
          </cell>
        </row>
        <row r="16">
          <cell r="A16" t="e">
            <v>#REF!</v>
          </cell>
          <cell r="B16">
            <v>0</v>
          </cell>
          <cell r="C16">
            <v>0</v>
          </cell>
          <cell r="D16" t="e">
            <v>#REF!</v>
          </cell>
          <cell r="E16">
            <v>0</v>
          </cell>
          <cell r="F16" t="e">
            <v>#REF!</v>
          </cell>
          <cell r="G16">
            <v>0</v>
          </cell>
          <cell r="H16" t="e">
            <v>#REF!</v>
          </cell>
          <cell r="I16">
            <v>0</v>
          </cell>
          <cell r="J16" t="e">
            <v>#REF!</v>
          </cell>
          <cell r="K16">
            <v>0</v>
          </cell>
          <cell r="L16" t="e">
            <v>#REF!</v>
          </cell>
          <cell r="M16">
            <v>0</v>
          </cell>
          <cell r="N16" t="e">
            <v>#REF!</v>
          </cell>
          <cell r="O16">
            <v>0</v>
          </cell>
          <cell r="P16" t="e">
            <v>#REF!</v>
          </cell>
          <cell r="Q16">
            <v>0</v>
          </cell>
          <cell r="R16" t="e">
            <v>#REF!</v>
          </cell>
          <cell r="S16">
            <v>0</v>
          </cell>
          <cell r="T16" t="e">
            <v>#REF!</v>
          </cell>
          <cell r="U16">
            <v>0</v>
          </cell>
          <cell r="V16" t="e">
            <v>#REF!</v>
          </cell>
          <cell r="W16">
            <v>0</v>
          </cell>
          <cell r="X16" t="e">
            <v>#REF!</v>
          </cell>
          <cell r="Y16">
            <v>0</v>
          </cell>
          <cell r="Z16" t="e">
            <v>#REF!</v>
          </cell>
        </row>
        <row r="17">
          <cell r="A17" t="e">
            <v>#REF!</v>
          </cell>
          <cell r="B17">
            <v>0</v>
          </cell>
          <cell r="C17">
            <v>0</v>
          </cell>
          <cell r="D17" t="e">
            <v>#REF!</v>
          </cell>
          <cell r="E17">
            <v>0</v>
          </cell>
          <cell r="F17" t="e">
            <v>#REF!</v>
          </cell>
          <cell r="G17">
            <v>0</v>
          </cell>
          <cell r="H17" t="e">
            <v>#REF!</v>
          </cell>
          <cell r="I17">
            <v>0</v>
          </cell>
          <cell r="J17" t="e">
            <v>#REF!</v>
          </cell>
          <cell r="K17">
            <v>0</v>
          </cell>
          <cell r="L17" t="e">
            <v>#REF!</v>
          </cell>
          <cell r="M17">
            <v>0</v>
          </cell>
          <cell r="N17" t="e">
            <v>#REF!</v>
          </cell>
          <cell r="O17">
            <v>0</v>
          </cell>
          <cell r="P17" t="e">
            <v>#REF!</v>
          </cell>
          <cell r="Q17">
            <v>0</v>
          </cell>
          <cell r="R17" t="e">
            <v>#REF!</v>
          </cell>
          <cell r="S17" t="str">
            <v>*</v>
          </cell>
          <cell r="T17" t="e">
            <v>#REF!</v>
          </cell>
          <cell r="U17">
            <v>0</v>
          </cell>
          <cell r="V17" t="e">
            <v>#REF!</v>
          </cell>
          <cell r="W17">
            <v>0</v>
          </cell>
          <cell r="X17" t="e">
            <v>#REF!</v>
          </cell>
          <cell r="Y17">
            <v>0</v>
          </cell>
          <cell r="Z17" t="e">
            <v>#REF!</v>
          </cell>
        </row>
        <row r="18">
          <cell r="A18" t="e">
            <v>#REF!</v>
          </cell>
          <cell r="B18">
            <v>0</v>
          </cell>
          <cell r="C18">
            <v>0</v>
          </cell>
          <cell r="D18" t="e">
            <v>#REF!</v>
          </cell>
          <cell r="E18">
            <v>0</v>
          </cell>
          <cell r="F18" t="e">
            <v>#REF!</v>
          </cell>
          <cell r="G18">
            <v>0</v>
          </cell>
          <cell r="H18" t="e">
            <v>#REF!</v>
          </cell>
          <cell r="I18">
            <v>0</v>
          </cell>
          <cell r="J18" t="e">
            <v>#REF!</v>
          </cell>
          <cell r="K18">
            <v>0</v>
          </cell>
          <cell r="L18" t="e">
            <v>#REF!</v>
          </cell>
          <cell r="M18">
            <v>0</v>
          </cell>
          <cell r="N18" t="e">
            <v>#REF!</v>
          </cell>
          <cell r="O18">
            <v>0</v>
          </cell>
          <cell r="P18" t="e">
            <v>#REF!</v>
          </cell>
          <cell r="Q18">
            <v>0</v>
          </cell>
          <cell r="R18" t="e">
            <v>#REF!</v>
          </cell>
          <cell r="S18">
            <v>0</v>
          </cell>
          <cell r="T18" t="e">
            <v>#REF!</v>
          </cell>
          <cell r="U18">
            <v>0</v>
          </cell>
          <cell r="V18" t="e">
            <v>#REF!</v>
          </cell>
          <cell r="W18">
            <v>0</v>
          </cell>
          <cell r="X18" t="e">
            <v>#REF!</v>
          </cell>
          <cell r="Y18">
            <v>0</v>
          </cell>
          <cell r="Z18" t="e">
            <v>#REF!</v>
          </cell>
          <cell r="AA18" t="str">
            <v>*</v>
          </cell>
        </row>
        <row r="19">
          <cell r="A19" t="e">
            <v>#REF!</v>
          </cell>
          <cell r="B19">
            <v>0</v>
          </cell>
          <cell r="C19">
            <v>0</v>
          </cell>
          <cell r="D19" t="e">
            <v>#REF!</v>
          </cell>
          <cell r="E19">
            <v>0</v>
          </cell>
          <cell r="F19" t="e">
            <v>#REF!</v>
          </cell>
          <cell r="G19">
            <v>0</v>
          </cell>
          <cell r="H19" t="e">
            <v>#REF!</v>
          </cell>
          <cell r="I19">
            <v>0</v>
          </cell>
          <cell r="J19" t="e">
            <v>#REF!</v>
          </cell>
          <cell r="K19">
            <v>0</v>
          </cell>
          <cell r="L19" t="e">
            <v>#REF!</v>
          </cell>
          <cell r="M19" t="str">
            <v>*</v>
          </cell>
          <cell r="N19" t="e">
            <v>#REF!</v>
          </cell>
          <cell r="O19">
            <v>0</v>
          </cell>
          <cell r="P19" t="e">
            <v>#REF!</v>
          </cell>
          <cell r="Q19">
            <v>0</v>
          </cell>
          <cell r="R19" t="e">
            <v>#REF!</v>
          </cell>
          <cell r="S19" t="str">
            <v>*</v>
          </cell>
          <cell r="T19" t="e">
            <v>#REF!</v>
          </cell>
          <cell r="U19">
            <v>0</v>
          </cell>
          <cell r="V19" t="e">
            <v>#REF!</v>
          </cell>
          <cell r="W19" t="str">
            <v>*</v>
          </cell>
          <cell r="X19" t="e">
            <v>#REF!</v>
          </cell>
          <cell r="Y19">
            <v>0</v>
          </cell>
          <cell r="Z19" t="e">
            <v>#REF!</v>
          </cell>
          <cell r="AA19" t="str">
            <v>*</v>
          </cell>
        </row>
        <row r="20">
          <cell r="A20" t="e">
            <v>#REF!</v>
          </cell>
          <cell r="B20">
            <v>0</v>
          </cell>
          <cell r="C20">
            <v>0</v>
          </cell>
          <cell r="D20" t="e">
            <v>#REF!</v>
          </cell>
          <cell r="E20">
            <v>0</v>
          </cell>
          <cell r="F20" t="e">
            <v>#REF!</v>
          </cell>
          <cell r="G20">
            <v>0</v>
          </cell>
          <cell r="H20" t="e">
            <v>#REF!</v>
          </cell>
          <cell r="I20">
            <v>0</v>
          </cell>
          <cell r="J20" t="e">
            <v>#REF!</v>
          </cell>
          <cell r="K20">
            <v>0</v>
          </cell>
          <cell r="L20" t="e">
            <v>#REF!</v>
          </cell>
          <cell r="M20">
            <v>0</v>
          </cell>
          <cell r="N20" t="e">
            <v>#REF!</v>
          </cell>
          <cell r="O20">
            <v>0</v>
          </cell>
          <cell r="P20" t="e">
            <v>#REF!</v>
          </cell>
          <cell r="Q20">
            <v>0</v>
          </cell>
          <cell r="R20" t="e">
            <v>#REF!</v>
          </cell>
          <cell r="S20">
            <v>0</v>
          </cell>
          <cell r="T20" t="e">
            <v>#REF!</v>
          </cell>
          <cell r="U20">
            <v>0</v>
          </cell>
          <cell r="V20" t="e">
            <v>#REF!</v>
          </cell>
          <cell r="W20">
            <v>0</v>
          </cell>
          <cell r="X20" t="e">
            <v>#REF!</v>
          </cell>
          <cell r="Y20">
            <v>0</v>
          </cell>
          <cell r="Z20" t="e">
            <v>#REF!</v>
          </cell>
        </row>
        <row r="21">
          <cell r="A21" t="e">
            <v>#REF!</v>
          </cell>
          <cell r="B21">
            <v>0</v>
          </cell>
          <cell r="C21">
            <v>0</v>
          </cell>
          <cell r="D21" t="e">
            <v>#REF!</v>
          </cell>
          <cell r="E21">
            <v>0</v>
          </cell>
          <cell r="F21" t="e">
            <v>#REF!</v>
          </cell>
          <cell r="G21">
            <v>0</v>
          </cell>
          <cell r="H21" t="e">
            <v>#REF!</v>
          </cell>
          <cell r="I21">
            <v>0</v>
          </cell>
          <cell r="J21" t="e">
            <v>#REF!</v>
          </cell>
          <cell r="K21">
            <v>0</v>
          </cell>
          <cell r="L21" t="e">
            <v>#REF!</v>
          </cell>
          <cell r="M21">
            <v>0</v>
          </cell>
          <cell r="N21" t="e">
            <v>#REF!</v>
          </cell>
          <cell r="O21">
            <v>0</v>
          </cell>
          <cell r="P21" t="e">
            <v>#REF!</v>
          </cell>
          <cell r="Q21">
            <v>0</v>
          </cell>
          <cell r="R21" t="e">
            <v>#REF!</v>
          </cell>
          <cell r="S21">
            <v>0</v>
          </cell>
          <cell r="T21" t="e">
            <v>#REF!</v>
          </cell>
          <cell r="U21">
            <v>0</v>
          </cell>
          <cell r="V21" t="e">
            <v>#REF!</v>
          </cell>
          <cell r="W21">
            <v>0</v>
          </cell>
          <cell r="X21" t="e">
            <v>#REF!</v>
          </cell>
          <cell r="Y21">
            <v>0</v>
          </cell>
          <cell r="Z21" t="e">
            <v>#REF!</v>
          </cell>
        </row>
        <row r="22">
          <cell r="A22" t="e">
            <v>#REF!</v>
          </cell>
          <cell r="B22">
            <v>0</v>
          </cell>
          <cell r="C22">
            <v>0</v>
          </cell>
          <cell r="D22" t="e">
            <v>#REF!</v>
          </cell>
          <cell r="E22">
            <v>0</v>
          </cell>
          <cell r="F22" t="e">
            <v>#REF!</v>
          </cell>
          <cell r="G22">
            <v>0</v>
          </cell>
          <cell r="H22" t="e">
            <v>#REF!</v>
          </cell>
          <cell r="I22">
            <v>0</v>
          </cell>
          <cell r="J22" t="e">
            <v>#REF!</v>
          </cell>
          <cell r="K22">
            <v>0</v>
          </cell>
          <cell r="L22" t="e">
            <v>#REF!</v>
          </cell>
          <cell r="M22">
            <v>0</v>
          </cell>
          <cell r="N22" t="e">
            <v>#REF!</v>
          </cell>
          <cell r="O22">
            <v>0</v>
          </cell>
          <cell r="P22" t="e">
            <v>#REF!</v>
          </cell>
          <cell r="Q22">
            <v>0</v>
          </cell>
          <cell r="R22" t="e">
            <v>#REF!</v>
          </cell>
          <cell r="S22">
            <v>0</v>
          </cell>
          <cell r="T22" t="e">
            <v>#REF!</v>
          </cell>
          <cell r="U22">
            <v>0</v>
          </cell>
          <cell r="V22" t="e">
            <v>#REF!</v>
          </cell>
          <cell r="W22">
            <v>0</v>
          </cell>
          <cell r="X22" t="e">
            <v>#REF!</v>
          </cell>
          <cell r="Y22">
            <v>0</v>
          </cell>
          <cell r="Z22" t="e">
            <v>#REF!</v>
          </cell>
        </row>
        <row r="23">
          <cell r="A23" t="e">
            <v>#REF!</v>
          </cell>
          <cell r="B23">
            <v>0</v>
          </cell>
          <cell r="C23">
            <v>0</v>
          </cell>
          <cell r="D23" t="e">
            <v>#REF!</v>
          </cell>
          <cell r="E23">
            <v>0</v>
          </cell>
          <cell r="F23" t="e">
            <v>#REF!</v>
          </cell>
          <cell r="G23">
            <v>0</v>
          </cell>
          <cell r="H23" t="e">
            <v>#REF!</v>
          </cell>
          <cell r="I23">
            <v>0</v>
          </cell>
          <cell r="J23" t="e">
            <v>#REF!</v>
          </cell>
          <cell r="K23">
            <v>0</v>
          </cell>
          <cell r="L23" t="e">
            <v>#REF!</v>
          </cell>
          <cell r="M23">
            <v>0</v>
          </cell>
          <cell r="N23" t="e">
            <v>#REF!</v>
          </cell>
          <cell r="O23">
            <v>0</v>
          </cell>
          <cell r="P23" t="e">
            <v>#REF!</v>
          </cell>
          <cell r="Q23">
            <v>0</v>
          </cell>
          <cell r="R23" t="e">
            <v>#REF!</v>
          </cell>
          <cell r="S23">
            <v>0</v>
          </cell>
          <cell r="T23" t="e">
            <v>#REF!</v>
          </cell>
          <cell r="U23">
            <v>0</v>
          </cell>
          <cell r="V23" t="e">
            <v>#REF!</v>
          </cell>
          <cell r="W23">
            <v>0</v>
          </cell>
          <cell r="X23" t="e">
            <v>#REF!</v>
          </cell>
          <cell r="Y23">
            <v>0</v>
          </cell>
          <cell r="Z23" t="e">
            <v>#REF!</v>
          </cell>
        </row>
        <row r="27">
          <cell r="H27" t="str">
            <v xml:space="preserve">     Minimum (e)</v>
          </cell>
          <cell r="I27">
            <v>0</v>
          </cell>
          <cell r="J27">
            <v>0</v>
          </cell>
          <cell r="K27">
            <v>0</v>
          </cell>
          <cell r="L27" t="e">
            <v>#REF!</v>
          </cell>
          <cell r="M27">
            <v>0</v>
          </cell>
          <cell r="N27" t="e">
            <v>#REF!</v>
          </cell>
          <cell r="O27">
            <v>0</v>
          </cell>
          <cell r="P27" t="e">
            <v>#REF!</v>
          </cell>
          <cell r="Q27">
            <v>0</v>
          </cell>
          <cell r="R27" t="e">
            <v>#REF!</v>
          </cell>
          <cell r="S27">
            <v>0</v>
          </cell>
          <cell r="T27" t="e">
            <v>#REF!</v>
          </cell>
          <cell r="U27">
            <v>0</v>
          </cell>
          <cell r="V27" t="e">
            <v>#REF!</v>
          </cell>
          <cell r="W27">
            <v>0</v>
          </cell>
          <cell r="X27" t="e">
            <v>#REF!</v>
          </cell>
          <cell r="Y27">
            <v>0</v>
          </cell>
          <cell r="Z27" t="e">
            <v>#REF!</v>
          </cell>
        </row>
        <row r="28">
          <cell r="H28" t="str">
            <v xml:space="preserve">     Mean (e)</v>
          </cell>
          <cell r="I28">
            <v>0</v>
          </cell>
          <cell r="J28">
            <v>0</v>
          </cell>
          <cell r="K28">
            <v>0</v>
          </cell>
          <cell r="L28" t="e">
            <v>#REF!</v>
          </cell>
          <cell r="M28">
            <v>0</v>
          </cell>
          <cell r="N28" t="e">
            <v>#REF!</v>
          </cell>
          <cell r="O28">
            <v>0</v>
          </cell>
          <cell r="P28" t="e">
            <v>#REF!</v>
          </cell>
          <cell r="Q28">
            <v>0</v>
          </cell>
          <cell r="R28" t="e">
            <v>#REF!</v>
          </cell>
          <cell r="S28">
            <v>0</v>
          </cell>
          <cell r="T28" t="e">
            <v>#REF!</v>
          </cell>
          <cell r="U28">
            <v>0</v>
          </cell>
          <cell r="V28" t="e">
            <v>#REF!</v>
          </cell>
          <cell r="W28">
            <v>0</v>
          </cell>
          <cell r="X28" t="e">
            <v>#REF!</v>
          </cell>
          <cell r="Y28">
            <v>0</v>
          </cell>
          <cell r="Z28" t="e">
            <v>#REF!</v>
          </cell>
        </row>
        <row r="29">
          <cell r="H29" t="str">
            <v xml:space="preserve">     Median (e)</v>
          </cell>
          <cell r="I29">
            <v>0</v>
          </cell>
          <cell r="J29">
            <v>0</v>
          </cell>
          <cell r="K29">
            <v>0</v>
          </cell>
          <cell r="L29" t="e">
            <v>#REF!</v>
          </cell>
          <cell r="M29">
            <v>0</v>
          </cell>
          <cell r="N29" t="e">
            <v>#REF!</v>
          </cell>
          <cell r="O29">
            <v>0</v>
          </cell>
          <cell r="P29" t="e">
            <v>#REF!</v>
          </cell>
          <cell r="Q29">
            <v>0</v>
          </cell>
          <cell r="R29" t="e">
            <v>#REF!</v>
          </cell>
          <cell r="S29">
            <v>0</v>
          </cell>
          <cell r="T29" t="e">
            <v>#REF!</v>
          </cell>
          <cell r="U29">
            <v>0</v>
          </cell>
          <cell r="V29" t="e">
            <v>#REF!</v>
          </cell>
          <cell r="W29">
            <v>0</v>
          </cell>
          <cell r="X29" t="e">
            <v>#REF!</v>
          </cell>
          <cell r="Y29">
            <v>0</v>
          </cell>
          <cell r="Z29" t="e">
            <v>#REF!</v>
          </cell>
        </row>
        <row r="30">
          <cell r="H30" t="str">
            <v xml:space="preserve">     Maximum (e)</v>
          </cell>
          <cell r="I30">
            <v>0</v>
          </cell>
          <cell r="J30">
            <v>0</v>
          </cell>
          <cell r="K30">
            <v>0</v>
          </cell>
          <cell r="L30" t="e">
            <v>#REF!</v>
          </cell>
          <cell r="M30">
            <v>0</v>
          </cell>
          <cell r="N30" t="e">
            <v>#REF!</v>
          </cell>
          <cell r="O30">
            <v>0</v>
          </cell>
          <cell r="P30" t="e">
            <v>#REF!</v>
          </cell>
          <cell r="Q30">
            <v>0</v>
          </cell>
          <cell r="R30" t="e">
            <v>#REF!</v>
          </cell>
          <cell r="S30">
            <v>0</v>
          </cell>
          <cell r="T30" t="e">
            <v>#REF!</v>
          </cell>
          <cell r="U30">
            <v>0</v>
          </cell>
          <cell r="V30" t="e">
            <v>#REF!</v>
          </cell>
          <cell r="W30">
            <v>0</v>
          </cell>
          <cell r="X30" t="e">
            <v>#REF!</v>
          </cell>
          <cell r="Y30">
            <v>0</v>
          </cell>
          <cell r="Z30" t="e">
            <v>#REF!</v>
          </cell>
        </row>
        <row r="41">
          <cell r="A41" t="str">
            <v>Dollar amounts in U.S. millions except per share data and if otherwise stated.</v>
          </cell>
        </row>
        <row r="42">
          <cell r="A42" t="str">
            <v>(a)</v>
          </cell>
          <cell r="B42" t="str">
            <v>Market Capitalization = Market Value of Equity + Pref. Equity + Short-Term Debt + Long-Term Debt + Minority Interest - Cash &amp; Marketable Securities</v>
          </cell>
        </row>
        <row r="43">
          <cell r="A43" t="str">
            <v>(b)</v>
          </cell>
          <cell r="B43" t="str">
            <v>Adjusted Market Capitalization = Market Value of Equity + Pref. Equity + Short-Term Debt + Long-Term Debt + Minority Interest + Net Pension Liabilities + Net OPEBs - Cash &amp; Marketable Securities</v>
          </cell>
        </row>
        <row r="44">
          <cell r="A44" t="str">
            <v>(c)</v>
          </cell>
          <cell r="B44" t="str">
            <v>Earnings Estimates were obtained from First Call as of Sep-13-99 and calendarized when necessary.</v>
          </cell>
        </row>
        <row r="45">
          <cell r="A45" t="str">
            <v>(d)</v>
          </cell>
          <cell r="B45" t="str">
            <v>Cash Flow = Income Available to Common + DD&amp;A + Deferred Taxes + Earnings of Unconsolidated Subs.</v>
          </cell>
        </row>
        <row r="46">
          <cell r="A46" t="str">
            <v>(e)</v>
          </cell>
          <cell r="B46" t="str">
            <v>Summary Multiples exclude numbers that are Negative, Not Available, Not Meaningful and (*) items.</v>
          </cell>
        </row>
        <row r="47">
          <cell r="A47" t="str">
            <v>(f)</v>
          </cell>
          <cell r="B47" t="str">
            <v>EBITDAPO = Earnings Before Interest, Taxes, Depreciation, Amortization, Pension and OPEB Expenses</v>
          </cell>
        </row>
        <row r="107">
          <cell r="G107" t="str">
            <v>Credit Ratings</v>
          </cell>
          <cell r="H107">
            <v>0</v>
          </cell>
          <cell r="I107">
            <v>0</v>
          </cell>
          <cell r="J107" t="str">
            <v>LTM</v>
          </cell>
          <cell r="K107">
            <v>0</v>
          </cell>
          <cell r="L107" t="str">
            <v>LTM</v>
          </cell>
          <cell r="M107">
            <v>0</v>
          </cell>
          <cell r="N107" t="str">
            <v>(EBITDA -</v>
          </cell>
          <cell r="O107">
            <v>0</v>
          </cell>
          <cell r="P107" t="str">
            <v>Total</v>
          </cell>
          <cell r="Q107">
            <v>0</v>
          </cell>
          <cell r="R107" t="str">
            <v>Net Debt</v>
          </cell>
          <cell r="S107">
            <v>0</v>
          </cell>
          <cell r="T107" t="str">
            <v>Net Debt/</v>
          </cell>
          <cell r="U107">
            <v>0</v>
          </cell>
          <cell r="V107" t="str">
            <v>Total</v>
          </cell>
          <cell r="W107">
            <v>0</v>
          </cell>
          <cell r="X107" t="str">
            <v>FFO/</v>
          </cell>
          <cell r="Y107">
            <v>0</v>
          </cell>
          <cell r="Z107" t="str">
            <v>Free Oper.</v>
          </cell>
        </row>
        <row r="108">
          <cell r="G108" t="str">
            <v>Senior Debt</v>
          </cell>
          <cell r="H108">
            <v>0</v>
          </cell>
          <cell r="I108">
            <v>0</v>
          </cell>
          <cell r="J108" t="str">
            <v>EBITDA/</v>
          </cell>
          <cell r="K108">
            <v>0</v>
          </cell>
          <cell r="L108" t="str">
            <v>EBITDA/</v>
          </cell>
          <cell r="M108">
            <v>0</v>
          </cell>
          <cell r="N108" t="str">
            <v>CAPEX)/</v>
          </cell>
          <cell r="O108">
            <v>0</v>
          </cell>
          <cell r="P108" t="str">
            <v>Debt/</v>
          </cell>
          <cell r="Q108">
            <v>0</v>
          </cell>
          <cell r="R108" t="str">
            <v>Pen + OPEB/</v>
          </cell>
          <cell r="S108">
            <v>0</v>
          </cell>
          <cell r="T108" t="str">
            <v>Net</v>
          </cell>
          <cell r="U108">
            <v>0</v>
          </cell>
          <cell r="V108" t="str">
            <v>Debt/</v>
          </cell>
          <cell r="W108">
            <v>0</v>
          </cell>
          <cell r="X108" t="str">
            <v>Total</v>
          </cell>
          <cell r="Y108">
            <v>0</v>
          </cell>
          <cell r="Z108" t="str">
            <v>Cash Flow/</v>
          </cell>
        </row>
        <row r="109">
          <cell r="A109" t="str">
            <v>Company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 t="str">
            <v>Moody's</v>
          </cell>
          <cell r="G109">
            <v>0</v>
          </cell>
          <cell r="H109" t="str">
            <v>S&amp;P</v>
          </cell>
          <cell r="I109">
            <v>0</v>
          </cell>
          <cell r="J109" t="str">
            <v>Gross Int.</v>
          </cell>
          <cell r="K109">
            <v>0</v>
          </cell>
          <cell r="L109" t="str">
            <v>Net Int.</v>
          </cell>
          <cell r="M109">
            <v>0</v>
          </cell>
          <cell r="N109" t="str">
            <v>Gross Int.</v>
          </cell>
          <cell r="O109">
            <v>0</v>
          </cell>
          <cell r="P109" t="str">
            <v>Tot Bk Cap</v>
          </cell>
          <cell r="Q109">
            <v>0</v>
          </cell>
          <cell r="R109" t="str">
            <v>Net Bk Cap</v>
          </cell>
          <cell r="S109">
            <v>0</v>
          </cell>
          <cell r="T109" t="str">
            <v>Book Cap</v>
          </cell>
          <cell r="U109">
            <v>0</v>
          </cell>
          <cell r="V109" t="str">
            <v>EBITDA</v>
          </cell>
          <cell r="W109">
            <v>0</v>
          </cell>
          <cell r="X109" t="str">
            <v>Debt</v>
          </cell>
          <cell r="Y109">
            <v>0</v>
          </cell>
          <cell r="Z109" t="str">
            <v xml:space="preserve"> Debt</v>
          </cell>
        </row>
        <row r="112">
          <cell r="A112" t="str">
            <v>Company Name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 t="str">
            <v>Ba1</v>
          </cell>
          <cell r="G112">
            <v>0</v>
          </cell>
          <cell r="H112" t="str">
            <v>BB-</v>
          </cell>
          <cell r="I112">
            <v>0</v>
          </cell>
          <cell r="J112" t="e">
            <v>#REF!</v>
          </cell>
          <cell r="K112">
            <v>0</v>
          </cell>
          <cell r="L112" t="e">
            <v>#REF!</v>
          </cell>
          <cell r="M112">
            <v>0</v>
          </cell>
          <cell r="N112" t="e">
            <v>#REF!</v>
          </cell>
          <cell r="O112">
            <v>0</v>
          </cell>
          <cell r="P112" t="e">
            <v>#REF!</v>
          </cell>
          <cell r="Q112">
            <v>0</v>
          </cell>
          <cell r="R112" t="e">
            <v>#REF!</v>
          </cell>
          <cell r="S112">
            <v>0</v>
          </cell>
          <cell r="T112" t="e">
            <v>#REF!</v>
          </cell>
          <cell r="U112">
            <v>0</v>
          </cell>
          <cell r="V112" t="e">
            <v>#REF!</v>
          </cell>
          <cell r="W112">
            <v>0</v>
          </cell>
          <cell r="X112" t="e">
            <v>#REF!</v>
          </cell>
          <cell r="Y112">
            <v>0</v>
          </cell>
          <cell r="Z112" t="e">
            <v>#REF!</v>
          </cell>
        </row>
        <row r="113">
          <cell r="A113" t="e">
            <v>#REF!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 t="str">
            <v>B1</v>
          </cell>
          <cell r="G113">
            <v>0</v>
          </cell>
          <cell r="H113" t="str">
            <v>B</v>
          </cell>
          <cell r="I113">
            <v>0</v>
          </cell>
          <cell r="J113" t="e">
            <v>#REF!</v>
          </cell>
          <cell r="K113">
            <v>0</v>
          </cell>
          <cell r="L113" t="e">
            <v>#REF!</v>
          </cell>
          <cell r="M113">
            <v>0</v>
          </cell>
          <cell r="N113" t="e">
            <v>#REF!</v>
          </cell>
          <cell r="O113">
            <v>0</v>
          </cell>
          <cell r="P113" t="e">
            <v>#REF!</v>
          </cell>
          <cell r="Q113">
            <v>0</v>
          </cell>
          <cell r="R113" t="e">
            <v>#REF!</v>
          </cell>
          <cell r="S113">
            <v>0</v>
          </cell>
          <cell r="T113" t="e">
            <v>#REF!</v>
          </cell>
          <cell r="U113">
            <v>0</v>
          </cell>
          <cell r="V113" t="e">
            <v>#REF!</v>
          </cell>
          <cell r="W113">
            <v>0</v>
          </cell>
          <cell r="X113" t="e">
            <v>#REF!</v>
          </cell>
          <cell r="Y113">
            <v>0</v>
          </cell>
          <cell r="Z113" t="e">
            <v>#REF!</v>
          </cell>
        </row>
        <row r="114">
          <cell r="A114" t="e">
            <v>#REF!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 t="str">
            <v>Ba2</v>
          </cell>
          <cell r="G114">
            <v>0</v>
          </cell>
          <cell r="H114" t="str">
            <v>BB-</v>
          </cell>
          <cell r="I114">
            <v>0</v>
          </cell>
          <cell r="J114" t="e">
            <v>#REF!</v>
          </cell>
          <cell r="K114">
            <v>0</v>
          </cell>
          <cell r="L114" t="e">
            <v>#REF!</v>
          </cell>
          <cell r="M114">
            <v>0</v>
          </cell>
          <cell r="N114" t="e">
            <v>#REF!</v>
          </cell>
          <cell r="O114">
            <v>0</v>
          </cell>
          <cell r="P114" t="e">
            <v>#REF!</v>
          </cell>
          <cell r="Q114">
            <v>0</v>
          </cell>
          <cell r="R114" t="e">
            <v>#REF!</v>
          </cell>
          <cell r="S114">
            <v>0</v>
          </cell>
          <cell r="T114" t="e">
            <v>#REF!</v>
          </cell>
          <cell r="U114">
            <v>0</v>
          </cell>
          <cell r="V114" t="e">
            <v>#REF!</v>
          </cell>
          <cell r="W114">
            <v>0</v>
          </cell>
          <cell r="X114" t="e">
            <v>#REF!</v>
          </cell>
          <cell r="Y114">
            <v>0</v>
          </cell>
          <cell r="Z114" t="e">
            <v>#REF!</v>
          </cell>
        </row>
        <row r="115">
          <cell r="A115" t="e">
            <v>#REF!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 t="str">
            <v>-</v>
          </cell>
          <cell r="G115">
            <v>0</v>
          </cell>
          <cell r="H115" t="str">
            <v>-</v>
          </cell>
          <cell r="I115">
            <v>0</v>
          </cell>
          <cell r="J115" t="e">
            <v>#REF!</v>
          </cell>
          <cell r="K115">
            <v>0</v>
          </cell>
          <cell r="L115" t="e">
            <v>#REF!</v>
          </cell>
          <cell r="M115">
            <v>0</v>
          </cell>
          <cell r="N115" t="e">
            <v>#REF!</v>
          </cell>
          <cell r="O115">
            <v>0</v>
          </cell>
          <cell r="P115" t="e">
            <v>#REF!</v>
          </cell>
          <cell r="Q115">
            <v>0</v>
          </cell>
          <cell r="R115" t="e">
            <v>#REF!</v>
          </cell>
          <cell r="S115">
            <v>0</v>
          </cell>
          <cell r="T115" t="e">
            <v>#REF!</v>
          </cell>
          <cell r="U115">
            <v>0</v>
          </cell>
          <cell r="V115" t="e">
            <v>#REF!</v>
          </cell>
          <cell r="W115">
            <v>0</v>
          </cell>
          <cell r="X115" t="e">
            <v>#REF!</v>
          </cell>
          <cell r="Y115">
            <v>0</v>
          </cell>
          <cell r="Z115" t="e">
            <v>#REF!</v>
          </cell>
        </row>
        <row r="116">
          <cell r="A116" t="e">
            <v>#REF!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 t="str">
            <v>Ba1</v>
          </cell>
          <cell r="G116">
            <v>0</v>
          </cell>
          <cell r="H116" t="str">
            <v>BB-</v>
          </cell>
          <cell r="I116">
            <v>0</v>
          </cell>
          <cell r="J116" t="e">
            <v>#REF!</v>
          </cell>
          <cell r="K116">
            <v>0</v>
          </cell>
          <cell r="L116" t="e">
            <v>#REF!</v>
          </cell>
          <cell r="M116">
            <v>0</v>
          </cell>
          <cell r="N116" t="e">
            <v>#REF!</v>
          </cell>
          <cell r="O116">
            <v>0</v>
          </cell>
          <cell r="P116" t="e">
            <v>#REF!</v>
          </cell>
          <cell r="Q116">
            <v>0</v>
          </cell>
          <cell r="R116" t="e">
            <v>#REF!</v>
          </cell>
          <cell r="S116">
            <v>0</v>
          </cell>
          <cell r="T116" t="e">
            <v>#REF!</v>
          </cell>
          <cell r="U116">
            <v>0</v>
          </cell>
          <cell r="V116" t="e">
            <v>#REF!</v>
          </cell>
          <cell r="W116">
            <v>0</v>
          </cell>
          <cell r="X116" t="e">
            <v>#REF!</v>
          </cell>
          <cell r="Y116">
            <v>0</v>
          </cell>
          <cell r="Z116" t="e">
            <v>#REF!</v>
          </cell>
        </row>
        <row r="117">
          <cell r="A117" t="e">
            <v>#REF!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 t="str">
            <v>Ba3</v>
          </cell>
          <cell r="G117">
            <v>0</v>
          </cell>
          <cell r="H117" t="str">
            <v>B+</v>
          </cell>
          <cell r="I117">
            <v>0</v>
          </cell>
          <cell r="J117" t="e">
            <v>#REF!</v>
          </cell>
          <cell r="K117">
            <v>0</v>
          </cell>
          <cell r="L117" t="e">
            <v>#REF!</v>
          </cell>
          <cell r="M117">
            <v>0</v>
          </cell>
          <cell r="N117" t="e">
            <v>#REF!</v>
          </cell>
          <cell r="O117">
            <v>0</v>
          </cell>
          <cell r="P117" t="e">
            <v>#REF!</v>
          </cell>
          <cell r="Q117">
            <v>0</v>
          </cell>
          <cell r="R117" t="e">
            <v>#REF!</v>
          </cell>
          <cell r="S117">
            <v>0</v>
          </cell>
          <cell r="T117" t="e">
            <v>#REF!</v>
          </cell>
          <cell r="U117">
            <v>0</v>
          </cell>
          <cell r="V117" t="e">
            <v>#REF!</v>
          </cell>
          <cell r="W117">
            <v>0</v>
          </cell>
          <cell r="X117" t="e">
            <v>#REF!</v>
          </cell>
          <cell r="Y117">
            <v>0</v>
          </cell>
          <cell r="Z117" t="e">
            <v>#REF!</v>
          </cell>
        </row>
        <row r="118">
          <cell r="A118" t="e">
            <v>#REF!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 t="str">
            <v>A1</v>
          </cell>
          <cell r="G118">
            <v>0</v>
          </cell>
          <cell r="H118" t="str">
            <v>AA-</v>
          </cell>
          <cell r="I118">
            <v>0</v>
          </cell>
          <cell r="J118" t="e">
            <v>#REF!</v>
          </cell>
          <cell r="K118">
            <v>0</v>
          </cell>
          <cell r="L118" t="e">
            <v>#REF!</v>
          </cell>
          <cell r="M118">
            <v>0</v>
          </cell>
          <cell r="N118" t="e">
            <v>#REF!</v>
          </cell>
          <cell r="O118">
            <v>0</v>
          </cell>
          <cell r="P118" t="e">
            <v>#REF!</v>
          </cell>
          <cell r="Q118">
            <v>0</v>
          </cell>
          <cell r="R118" t="e">
            <v>#REF!</v>
          </cell>
          <cell r="S118">
            <v>0</v>
          </cell>
          <cell r="T118" t="e">
            <v>#REF!</v>
          </cell>
          <cell r="U118">
            <v>0</v>
          </cell>
          <cell r="V118" t="e">
            <v>#REF!</v>
          </cell>
          <cell r="W118">
            <v>0</v>
          </cell>
          <cell r="X118" t="e">
            <v>#REF!</v>
          </cell>
          <cell r="Y118">
            <v>0</v>
          </cell>
          <cell r="Z118" t="e">
            <v>#REF!</v>
          </cell>
        </row>
        <row r="119">
          <cell r="A119" t="e">
            <v>#REF!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 t="str">
            <v>-</v>
          </cell>
          <cell r="G119">
            <v>0</v>
          </cell>
          <cell r="H119" t="str">
            <v>-</v>
          </cell>
          <cell r="I119">
            <v>0</v>
          </cell>
          <cell r="J119" t="e">
            <v>#REF!</v>
          </cell>
          <cell r="K119">
            <v>0</v>
          </cell>
          <cell r="L119" t="e">
            <v>#REF!</v>
          </cell>
          <cell r="M119">
            <v>0</v>
          </cell>
          <cell r="N119" t="e">
            <v>#REF!</v>
          </cell>
          <cell r="O119">
            <v>0</v>
          </cell>
          <cell r="P119" t="e">
            <v>#REF!</v>
          </cell>
          <cell r="Q119">
            <v>0</v>
          </cell>
          <cell r="R119" t="e">
            <v>#REF!</v>
          </cell>
          <cell r="S119">
            <v>0</v>
          </cell>
          <cell r="T119" t="e">
            <v>#REF!</v>
          </cell>
          <cell r="U119">
            <v>0</v>
          </cell>
          <cell r="V119" t="e">
            <v>#REF!</v>
          </cell>
          <cell r="W119">
            <v>0</v>
          </cell>
          <cell r="X119" t="e">
            <v>#REF!</v>
          </cell>
          <cell r="Y119">
            <v>0</v>
          </cell>
          <cell r="Z119" t="e">
            <v>#REF!</v>
          </cell>
        </row>
        <row r="120">
          <cell r="A120" t="e">
            <v>#REF!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 t="str">
            <v>-</v>
          </cell>
          <cell r="G120">
            <v>0</v>
          </cell>
          <cell r="H120" t="str">
            <v>-</v>
          </cell>
          <cell r="I120">
            <v>0</v>
          </cell>
          <cell r="J120" t="e">
            <v>#REF!</v>
          </cell>
          <cell r="K120">
            <v>0</v>
          </cell>
          <cell r="L120" t="e">
            <v>#REF!</v>
          </cell>
          <cell r="M120">
            <v>0</v>
          </cell>
          <cell r="N120" t="e">
            <v>#REF!</v>
          </cell>
          <cell r="O120">
            <v>0</v>
          </cell>
          <cell r="P120" t="e">
            <v>#REF!</v>
          </cell>
          <cell r="Q120">
            <v>0</v>
          </cell>
          <cell r="R120" t="e">
            <v>#REF!</v>
          </cell>
          <cell r="S120">
            <v>0</v>
          </cell>
          <cell r="T120" t="e">
            <v>#REF!</v>
          </cell>
          <cell r="U120">
            <v>0</v>
          </cell>
          <cell r="V120" t="e">
            <v>#REF!</v>
          </cell>
          <cell r="W120">
            <v>0</v>
          </cell>
          <cell r="X120" t="e">
            <v>#REF!</v>
          </cell>
          <cell r="Y120">
            <v>0</v>
          </cell>
          <cell r="Z120" t="e">
            <v>#REF!</v>
          </cell>
        </row>
        <row r="121">
          <cell r="A121" t="e">
            <v>#REF!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 t="str">
            <v>-</v>
          </cell>
          <cell r="G121">
            <v>0</v>
          </cell>
          <cell r="H121" t="str">
            <v>-</v>
          </cell>
          <cell r="I121">
            <v>0</v>
          </cell>
          <cell r="J121" t="e">
            <v>#REF!</v>
          </cell>
          <cell r="K121">
            <v>0</v>
          </cell>
          <cell r="L121" t="e">
            <v>#REF!</v>
          </cell>
          <cell r="M121">
            <v>0</v>
          </cell>
          <cell r="N121" t="e">
            <v>#REF!</v>
          </cell>
          <cell r="O121">
            <v>0</v>
          </cell>
          <cell r="P121" t="e">
            <v>#REF!</v>
          </cell>
          <cell r="Q121">
            <v>0</v>
          </cell>
          <cell r="R121" t="e">
            <v>#REF!</v>
          </cell>
          <cell r="S121">
            <v>0</v>
          </cell>
          <cell r="T121" t="e">
            <v>#REF!</v>
          </cell>
          <cell r="U121">
            <v>0</v>
          </cell>
          <cell r="V121" t="e">
            <v>#REF!</v>
          </cell>
          <cell r="W121">
            <v>0</v>
          </cell>
          <cell r="X121" t="e">
            <v>#REF!</v>
          </cell>
          <cell r="Y121">
            <v>0</v>
          </cell>
          <cell r="Z121" t="e">
            <v>#REF!</v>
          </cell>
        </row>
        <row r="122">
          <cell r="A122" t="e">
            <v>#REF!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 t="str">
            <v>Baa2</v>
          </cell>
          <cell r="G122">
            <v>0</v>
          </cell>
          <cell r="H122" t="str">
            <v>BBB-</v>
          </cell>
          <cell r="I122">
            <v>0</v>
          </cell>
          <cell r="J122" t="e">
            <v>#REF!</v>
          </cell>
          <cell r="K122">
            <v>0</v>
          </cell>
          <cell r="L122" t="e">
            <v>#REF!</v>
          </cell>
          <cell r="M122">
            <v>0</v>
          </cell>
          <cell r="N122" t="e">
            <v>#REF!</v>
          </cell>
          <cell r="O122">
            <v>0</v>
          </cell>
          <cell r="P122" t="e">
            <v>#REF!</v>
          </cell>
          <cell r="Q122">
            <v>0</v>
          </cell>
          <cell r="R122" t="e">
            <v>#REF!</v>
          </cell>
          <cell r="S122">
            <v>0</v>
          </cell>
          <cell r="T122" t="e">
            <v>#REF!</v>
          </cell>
          <cell r="U122">
            <v>0</v>
          </cell>
          <cell r="V122" t="e">
            <v>#REF!</v>
          </cell>
          <cell r="W122">
            <v>0</v>
          </cell>
          <cell r="X122" t="e">
            <v>#REF!</v>
          </cell>
          <cell r="Y122">
            <v>0</v>
          </cell>
          <cell r="Z122" t="e">
            <v>#REF!</v>
          </cell>
        </row>
        <row r="123">
          <cell r="A123" t="e">
            <v>#REF!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 t="str">
            <v>B2</v>
          </cell>
          <cell r="G123">
            <v>0</v>
          </cell>
          <cell r="H123" t="str">
            <v>B</v>
          </cell>
          <cell r="I123">
            <v>0</v>
          </cell>
          <cell r="J123" t="e">
            <v>#REF!</v>
          </cell>
          <cell r="K123">
            <v>0</v>
          </cell>
          <cell r="L123" t="e">
            <v>#REF!</v>
          </cell>
          <cell r="M123">
            <v>0</v>
          </cell>
          <cell r="N123" t="e">
            <v>#REF!</v>
          </cell>
          <cell r="O123">
            <v>0</v>
          </cell>
          <cell r="P123" t="e">
            <v>#REF!</v>
          </cell>
          <cell r="Q123">
            <v>0</v>
          </cell>
          <cell r="R123" t="e">
            <v>#REF!</v>
          </cell>
          <cell r="S123">
            <v>0</v>
          </cell>
          <cell r="T123" t="e">
            <v>#REF!</v>
          </cell>
          <cell r="U123">
            <v>0</v>
          </cell>
          <cell r="V123" t="e">
            <v>#REF!</v>
          </cell>
          <cell r="W123">
            <v>0</v>
          </cell>
          <cell r="X123" t="e">
            <v>#REF!</v>
          </cell>
          <cell r="Y123">
            <v>0</v>
          </cell>
          <cell r="Z123" t="e">
            <v>#REF!</v>
          </cell>
        </row>
        <row r="124">
          <cell r="A124" t="e">
            <v>#REF!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 t="str">
            <v>B3</v>
          </cell>
          <cell r="G124">
            <v>0</v>
          </cell>
          <cell r="H124" t="str">
            <v>B</v>
          </cell>
          <cell r="I124">
            <v>0</v>
          </cell>
          <cell r="J124" t="e">
            <v>#REF!</v>
          </cell>
          <cell r="K124">
            <v>0</v>
          </cell>
          <cell r="L124" t="e">
            <v>#REF!</v>
          </cell>
          <cell r="M124">
            <v>0</v>
          </cell>
          <cell r="N124" t="e">
            <v>#REF!</v>
          </cell>
          <cell r="O124">
            <v>0</v>
          </cell>
          <cell r="P124" t="e">
            <v>#REF!</v>
          </cell>
          <cell r="Q124">
            <v>0</v>
          </cell>
          <cell r="R124" t="e">
            <v>#REF!</v>
          </cell>
          <cell r="S124">
            <v>0</v>
          </cell>
          <cell r="T124" t="e">
            <v>#REF!</v>
          </cell>
          <cell r="U124">
            <v>0</v>
          </cell>
          <cell r="V124" t="e">
            <v>#REF!</v>
          </cell>
          <cell r="W124">
            <v>0</v>
          </cell>
          <cell r="X124" t="e">
            <v>#REF!</v>
          </cell>
          <cell r="Y124">
            <v>0</v>
          </cell>
          <cell r="Z124" t="e">
            <v>#REF!</v>
          </cell>
        </row>
        <row r="140">
          <cell r="A140" t="str">
            <v>Definitions:</v>
          </cell>
        </row>
        <row r="141">
          <cell r="A141" t="str">
            <v>Gross Interest = Gross Interest incurred before subtracting (i) capitalized interest, (ii) interest income.</v>
          </cell>
        </row>
        <row r="142">
          <cell r="A142" t="str">
            <v>FFO = Funds From Operations = Net income from continuing operations plus depreciation, amortization, deferred income taxes, and other noncash items.</v>
          </cell>
        </row>
        <row r="147">
          <cell r="A147" t="str">
            <v>Analysis of Valuation Multiples of Comparable Flat-Rolled Steel Companies</v>
          </cell>
        </row>
        <row r="148">
          <cell r="A148" t="str">
            <v>Summary Data for Selected Industry Comparables</v>
          </cell>
        </row>
        <row r="155">
          <cell r="F155" t="str">
            <v>LTM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 t="str">
            <v>LTM</v>
          </cell>
          <cell r="S155">
            <v>0</v>
          </cell>
          <cell r="T155" t="str">
            <v>LFQ</v>
          </cell>
        </row>
        <row r="156">
          <cell r="F156" t="str">
            <v>Net to</v>
          </cell>
          <cell r="G156">
            <v>0</v>
          </cell>
          <cell r="H156" t="str">
            <v>1999E</v>
          </cell>
          <cell r="I156">
            <v>0</v>
          </cell>
          <cell r="J156" t="str">
            <v>2000E</v>
          </cell>
          <cell r="K156">
            <v>0</v>
          </cell>
          <cell r="L156" t="str">
            <v>LTM</v>
          </cell>
          <cell r="M156">
            <v>0</v>
          </cell>
          <cell r="N156" t="str">
            <v>LTM</v>
          </cell>
          <cell r="O156">
            <v>0</v>
          </cell>
          <cell r="P156" t="str">
            <v>LTM</v>
          </cell>
          <cell r="Q156">
            <v>0</v>
          </cell>
          <cell r="R156" t="str">
            <v>Cash</v>
          </cell>
          <cell r="S156">
            <v>0</v>
          </cell>
          <cell r="T156" t="str">
            <v>Common</v>
          </cell>
          <cell r="U156">
            <v>0</v>
          </cell>
          <cell r="V156">
            <v>0</v>
          </cell>
          <cell r="W156">
            <v>0</v>
          </cell>
          <cell r="X156" t="str">
            <v>LTM</v>
          </cell>
        </row>
        <row r="157">
          <cell r="A157" t="str">
            <v>Company</v>
          </cell>
          <cell r="B157">
            <v>0</v>
          </cell>
          <cell r="C157">
            <v>0</v>
          </cell>
          <cell r="D157" t="str">
            <v>Shares</v>
          </cell>
          <cell r="E157">
            <v>0</v>
          </cell>
          <cell r="F157" t="str">
            <v>Common</v>
          </cell>
          <cell r="G157">
            <v>0</v>
          </cell>
          <cell r="H157" t="str">
            <v>EPS (a)</v>
          </cell>
          <cell r="I157">
            <v>0</v>
          </cell>
          <cell r="J157" t="str">
            <v>EPS (a)</v>
          </cell>
          <cell r="K157">
            <v>0</v>
          </cell>
          <cell r="L157" t="str">
            <v>Sales</v>
          </cell>
          <cell r="M157">
            <v>0</v>
          </cell>
          <cell r="N157" t="str">
            <v>EBITDA</v>
          </cell>
          <cell r="O157">
            <v>0</v>
          </cell>
          <cell r="P157" t="str">
            <v>EBIT</v>
          </cell>
          <cell r="Q157">
            <v>0</v>
          </cell>
          <cell r="R157" t="str">
            <v>Flow (b)</v>
          </cell>
          <cell r="S157">
            <v>0</v>
          </cell>
          <cell r="T157" t="str">
            <v>Equity</v>
          </cell>
          <cell r="U157">
            <v>0</v>
          </cell>
          <cell r="V157" t="str">
            <v>FYE</v>
          </cell>
          <cell r="W157">
            <v>0</v>
          </cell>
          <cell r="X157" t="str">
            <v>ENDED</v>
          </cell>
        </row>
        <row r="160">
          <cell r="A160" t="str">
            <v>Company Name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 t="e">
            <v>#REF!</v>
          </cell>
          <cell r="G160">
            <v>0</v>
          </cell>
          <cell r="H160" t="e">
            <v>#NAME?</v>
          </cell>
          <cell r="I160">
            <v>0</v>
          </cell>
          <cell r="J160" t="e">
            <v>#NAME?</v>
          </cell>
          <cell r="K160">
            <v>0</v>
          </cell>
          <cell r="L160">
            <v>2508.1999999999998</v>
          </cell>
          <cell r="M160">
            <v>0</v>
          </cell>
          <cell r="N160" t="e">
            <v>#REF!</v>
          </cell>
          <cell r="O160">
            <v>0</v>
          </cell>
          <cell r="P160" t="e">
            <v>#REF!</v>
          </cell>
          <cell r="Q160">
            <v>0</v>
          </cell>
          <cell r="R160" t="e">
            <v>#REF!</v>
          </cell>
          <cell r="S160">
            <v>0</v>
          </cell>
          <cell r="T160">
            <v>0</v>
          </cell>
          <cell r="U160">
            <v>0</v>
          </cell>
          <cell r="V160">
            <v>36160</v>
          </cell>
          <cell r="W160">
            <v>0</v>
          </cell>
          <cell r="X160">
            <v>36341</v>
          </cell>
        </row>
        <row r="161">
          <cell r="A161" t="e">
            <v>#REF!</v>
          </cell>
          <cell r="B161">
            <v>0</v>
          </cell>
          <cell r="C161">
            <v>0</v>
          </cell>
          <cell r="D161" t="e">
            <v>#REF!</v>
          </cell>
          <cell r="E161">
            <v>0</v>
          </cell>
          <cell r="F161" t="e">
            <v>#REF!</v>
          </cell>
          <cell r="G161">
            <v>0</v>
          </cell>
          <cell r="H161" t="e">
            <v>#REF!</v>
          </cell>
          <cell r="I161">
            <v>0</v>
          </cell>
          <cell r="J161" t="e">
            <v>#REF!</v>
          </cell>
          <cell r="K161">
            <v>0</v>
          </cell>
          <cell r="L161" t="e">
            <v>#REF!</v>
          </cell>
          <cell r="M161">
            <v>0</v>
          </cell>
          <cell r="N161" t="e">
            <v>#REF!</v>
          </cell>
          <cell r="O161">
            <v>0</v>
          </cell>
          <cell r="P161" t="e">
            <v>#REF!</v>
          </cell>
          <cell r="Q161">
            <v>0</v>
          </cell>
          <cell r="R161" t="e">
            <v>#REF!</v>
          </cell>
          <cell r="S161">
            <v>0</v>
          </cell>
          <cell r="T161" t="e">
            <v>#REF!</v>
          </cell>
          <cell r="U161">
            <v>0</v>
          </cell>
          <cell r="V161" t="e">
            <v>#REF!</v>
          </cell>
          <cell r="W161">
            <v>0</v>
          </cell>
          <cell r="X161" t="e">
            <v>#REF!</v>
          </cell>
        </row>
        <row r="162">
          <cell r="A162" t="e">
            <v>#REF!</v>
          </cell>
          <cell r="B162">
            <v>0</v>
          </cell>
          <cell r="C162">
            <v>0</v>
          </cell>
          <cell r="D162" t="e">
            <v>#REF!</v>
          </cell>
          <cell r="E162">
            <v>0</v>
          </cell>
          <cell r="F162" t="e">
            <v>#REF!</v>
          </cell>
          <cell r="G162">
            <v>0</v>
          </cell>
          <cell r="H162" t="e">
            <v>#REF!</v>
          </cell>
          <cell r="I162">
            <v>0</v>
          </cell>
          <cell r="J162" t="e">
            <v>#REF!</v>
          </cell>
          <cell r="K162">
            <v>0</v>
          </cell>
          <cell r="L162" t="e">
            <v>#REF!</v>
          </cell>
          <cell r="M162">
            <v>0</v>
          </cell>
          <cell r="N162" t="e">
            <v>#REF!</v>
          </cell>
          <cell r="O162">
            <v>0</v>
          </cell>
          <cell r="P162" t="e">
            <v>#REF!</v>
          </cell>
          <cell r="Q162">
            <v>0</v>
          </cell>
          <cell r="R162" t="e">
            <v>#REF!</v>
          </cell>
          <cell r="S162">
            <v>0</v>
          </cell>
          <cell r="T162" t="e">
            <v>#REF!</v>
          </cell>
          <cell r="U162">
            <v>0</v>
          </cell>
          <cell r="V162" t="e">
            <v>#REF!</v>
          </cell>
          <cell r="W162">
            <v>0</v>
          </cell>
          <cell r="X162" t="e">
            <v>#REF!</v>
          </cell>
        </row>
        <row r="163">
          <cell r="A163" t="e">
            <v>#REF!</v>
          </cell>
          <cell r="B163">
            <v>0</v>
          </cell>
          <cell r="C163">
            <v>0</v>
          </cell>
          <cell r="D163" t="e">
            <v>#REF!</v>
          </cell>
          <cell r="E163">
            <v>0</v>
          </cell>
          <cell r="F163" t="e">
            <v>#REF!</v>
          </cell>
          <cell r="G163">
            <v>0</v>
          </cell>
          <cell r="H163" t="e">
            <v>#REF!</v>
          </cell>
          <cell r="I163">
            <v>0</v>
          </cell>
          <cell r="J163" t="e">
            <v>#REF!</v>
          </cell>
          <cell r="K163">
            <v>0</v>
          </cell>
          <cell r="L163" t="e">
            <v>#REF!</v>
          </cell>
          <cell r="M163">
            <v>0</v>
          </cell>
          <cell r="N163" t="e">
            <v>#REF!</v>
          </cell>
          <cell r="O163">
            <v>0</v>
          </cell>
          <cell r="P163" t="e">
            <v>#REF!</v>
          </cell>
          <cell r="Q163">
            <v>0</v>
          </cell>
          <cell r="R163" t="e">
            <v>#REF!</v>
          </cell>
          <cell r="S163">
            <v>0</v>
          </cell>
          <cell r="T163" t="e">
            <v>#REF!</v>
          </cell>
          <cell r="U163">
            <v>0</v>
          </cell>
          <cell r="V163" t="e">
            <v>#REF!</v>
          </cell>
          <cell r="W163">
            <v>0</v>
          </cell>
          <cell r="X163" t="e">
            <v>#REF!</v>
          </cell>
        </row>
        <row r="164">
          <cell r="A164" t="e">
            <v>#REF!</v>
          </cell>
          <cell r="B164">
            <v>0</v>
          </cell>
          <cell r="C164">
            <v>0</v>
          </cell>
          <cell r="D164" t="e">
            <v>#REF!</v>
          </cell>
          <cell r="E164">
            <v>0</v>
          </cell>
          <cell r="F164" t="e">
            <v>#REF!</v>
          </cell>
          <cell r="G164">
            <v>0</v>
          </cell>
          <cell r="H164" t="e">
            <v>#REF!</v>
          </cell>
          <cell r="I164">
            <v>0</v>
          </cell>
          <cell r="J164" t="e">
            <v>#REF!</v>
          </cell>
          <cell r="K164">
            <v>0</v>
          </cell>
          <cell r="L164" t="e">
            <v>#REF!</v>
          </cell>
          <cell r="M164">
            <v>0</v>
          </cell>
          <cell r="N164" t="e">
            <v>#REF!</v>
          </cell>
          <cell r="O164">
            <v>0</v>
          </cell>
          <cell r="P164" t="e">
            <v>#REF!</v>
          </cell>
          <cell r="Q164">
            <v>0</v>
          </cell>
          <cell r="R164" t="e">
            <v>#REF!</v>
          </cell>
          <cell r="S164">
            <v>0</v>
          </cell>
          <cell r="T164" t="e">
            <v>#REF!</v>
          </cell>
          <cell r="U164">
            <v>0</v>
          </cell>
          <cell r="V164" t="e">
            <v>#REF!</v>
          </cell>
          <cell r="W164">
            <v>0</v>
          </cell>
          <cell r="X164" t="e">
            <v>#REF!</v>
          </cell>
        </row>
        <row r="165">
          <cell r="A165" t="e">
            <v>#REF!</v>
          </cell>
          <cell r="B165">
            <v>0</v>
          </cell>
          <cell r="C165">
            <v>0</v>
          </cell>
          <cell r="D165" t="e">
            <v>#REF!</v>
          </cell>
          <cell r="E165">
            <v>0</v>
          </cell>
          <cell r="F165" t="e">
            <v>#REF!</v>
          </cell>
          <cell r="G165">
            <v>0</v>
          </cell>
          <cell r="H165" t="e">
            <v>#REF!</v>
          </cell>
          <cell r="I165">
            <v>0</v>
          </cell>
          <cell r="J165" t="e">
            <v>#REF!</v>
          </cell>
          <cell r="K165">
            <v>0</v>
          </cell>
          <cell r="L165" t="e">
            <v>#REF!</v>
          </cell>
          <cell r="M165">
            <v>0</v>
          </cell>
          <cell r="N165" t="e">
            <v>#REF!</v>
          </cell>
          <cell r="O165">
            <v>0</v>
          </cell>
          <cell r="P165" t="e">
            <v>#REF!</v>
          </cell>
          <cell r="Q165">
            <v>0</v>
          </cell>
          <cell r="R165" t="e">
            <v>#REF!</v>
          </cell>
          <cell r="S165">
            <v>0</v>
          </cell>
          <cell r="T165" t="e">
            <v>#REF!</v>
          </cell>
          <cell r="U165">
            <v>0</v>
          </cell>
          <cell r="V165" t="e">
            <v>#REF!</v>
          </cell>
          <cell r="W165">
            <v>0</v>
          </cell>
          <cell r="X165" t="e">
            <v>#REF!</v>
          </cell>
        </row>
        <row r="166">
          <cell r="A166" t="e">
            <v>#REF!</v>
          </cell>
          <cell r="B166">
            <v>0</v>
          </cell>
          <cell r="C166">
            <v>0</v>
          </cell>
          <cell r="D166" t="e">
            <v>#REF!</v>
          </cell>
          <cell r="E166">
            <v>0</v>
          </cell>
          <cell r="F166" t="e">
            <v>#REF!</v>
          </cell>
          <cell r="G166">
            <v>0</v>
          </cell>
          <cell r="H166" t="e">
            <v>#REF!</v>
          </cell>
          <cell r="I166">
            <v>0</v>
          </cell>
          <cell r="J166" t="e">
            <v>#REF!</v>
          </cell>
          <cell r="K166">
            <v>0</v>
          </cell>
          <cell r="L166" t="e">
            <v>#REF!</v>
          </cell>
          <cell r="M166">
            <v>0</v>
          </cell>
          <cell r="N166" t="e">
            <v>#REF!</v>
          </cell>
          <cell r="O166">
            <v>0</v>
          </cell>
          <cell r="P166" t="e">
            <v>#REF!</v>
          </cell>
          <cell r="Q166">
            <v>0</v>
          </cell>
          <cell r="R166" t="e">
            <v>#REF!</v>
          </cell>
          <cell r="S166">
            <v>0</v>
          </cell>
          <cell r="T166" t="e">
            <v>#REF!</v>
          </cell>
          <cell r="U166">
            <v>0</v>
          </cell>
          <cell r="V166" t="e">
            <v>#REF!</v>
          </cell>
          <cell r="W166">
            <v>0</v>
          </cell>
          <cell r="X166" t="e">
            <v>#REF!</v>
          </cell>
        </row>
        <row r="167">
          <cell r="A167" t="e">
            <v>#REF!</v>
          </cell>
          <cell r="B167">
            <v>0</v>
          </cell>
          <cell r="C167">
            <v>0</v>
          </cell>
          <cell r="D167" t="e">
            <v>#REF!</v>
          </cell>
          <cell r="E167">
            <v>0</v>
          </cell>
          <cell r="F167" t="e">
            <v>#REF!</v>
          </cell>
          <cell r="G167">
            <v>0</v>
          </cell>
          <cell r="H167" t="e">
            <v>#REF!</v>
          </cell>
          <cell r="I167">
            <v>0</v>
          </cell>
          <cell r="J167" t="e">
            <v>#REF!</v>
          </cell>
          <cell r="K167">
            <v>0</v>
          </cell>
          <cell r="L167" t="e">
            <v>#REF!</v>
          </cell>
          <cell r="M167">
            <v>0</v>
          </cell>
          <cell r="N167" t="e">
            <v>#REF!</v>
          </cell>
          <cell r="O167">
            <v>0</v>
          </cell>
          <cell r="P167" t="e">
            <v>#REF!</v>
          </cell>
          <cell r="Q167">
            <v>0</v>
          </cell>
          <cell r="R167" t="e">
            <v>#REF!</v>
          </cell>
          <cell r="S167">
            <v>0</v>
          </cell>
          <cell r="T167" t="e">
            <v>#REF!</v>
          </cell>
          <cell r="U167">
            <v>0</v>
          </cell>
          <cell r="V167" t="e">
            <v>#REF!</v>
          </cell>
          <cell r="W167">
            <v>0</v>
          </cell>
          <cell r="X167" t="e">
            <v>#REF!</v>
          </cell>
        </row>
        <row r="168">
          <cell r="A168" t="e">
            <v>#REF!</v>
          </cell>
          <cell r="B168">
            <v>0</v>
          </cell>
          <cell r="C168">
            <v>0</v>
          </cell>
          <cell r="D168" t="e">
            <v>#REF!</v>
          </cell>
          <cell r="E168">
            <v>0</v>
          </cell>
          <cell r="F168" t="e">
            <v>#REF!</v>
          </cell>
          <cell r="G168">
            <v>0</v>
          </cell>
          <cell r="H168" t="e">
            <v>#REF!</v>
          </cell>
          <cell r="I168">
            <v>0</v>
          </cell>
          <cell r="J168" t="e">
            <v>#REF!</v>
          </cell>
          <cell r="K168">
            <v>0</v>
          </cell>
          <cell r="L168" t="e">
            <v>#REF!</v>
          </cell>
          <cell r="M168">
            <v>0</v>
          </cell>
          <cell r="N168" t="e">
            <v>#REF!</v>
          </cell>
          <cell r="O168">
            <v>0</v>
          </cell>
          <cell r="P168" t="e">
            <v>#REF!</v>
          </cell>
          <cell r="Q168">
            <v>0</v>
          </cell>
          <cell r="R168" t="e">
            <v>#REF!</v>
          </cell>
          <cell r="S168">
            <v>0</v>
          </cell>
          <cell r="T168" t="e">
            <v>#REF!</v>
          </cell>
          <cell r="U168">
            <v>0</v>
          </cell>
          <cell r="V168" t="e">
            <v>#REF!</v>
          </cell>
          <cell r="W168">
            <v>0</v>
          </cell>
          <cell r="X168" t="e">
            <v>#REF!</v>
          </cell>
        </row>
        <row r="169">
          <cell r="A169" t="e">
            <v>#REF!</v>
          </cell>
          <cell r="B169">
            <v>0</v>
          </cell>
          <cell r="C169">
            <v>0</v>
          </cell>
          <cell r="D169" t="e">
            <v>#REF!</v>
          </cell>
          <cell r="E169">
            <v>0</v>
          </cell>
          <cell r="F169" t="e">
            <v>#REF!</v>
          </cell>
          <cell r="G169">
            <v>0</v>
          </cell>
          <cell r="H169" t="e">
            <v>#REF!</v>
          </cell>
          <cell r="I169">
            <v>0</v>
          </cell>
          <cell r="J169" t="e">
            <v>#REF!</v>
          </cell>
          <cell r="K169">
            <v>0</v>
          </cell>
          <cell r="L169" t="e">
            <v>#REF!</v>
          </cell>
          <cell r="M169">
            <v>0</v>
          </cell>
          <cell r="N169" t="e">
            <v>#REF!</v>
          </cell>
          <cell r="O169">
            <v>0</v>
          </cell>
          <cell r="P169" t="e">
            <v>#REF!</v>
          </cell>
          <cell r="Q169">
            <v>0</v>
          </cell>
          <cell r="R169" t="e">
            <v>#REF!</v>
          </cell>
          <cell r="S169">
            <v>0</v>
          </cell>
          <cell r="T169" t="e">
            <v>#REF!</v>
          </cell>
          <cell r="U169">
            <v>0</v>
          </cell>
          <cell r="V169" t="e">
            <v>#REF!</v>
          </cell>
          <cell r="W169">
            <v>0</v>
          </cell>
          <cell r="X169" t="e">
            <v>#REF!</v>
          </cell>
        </row>
        <row r="170">
          <cell r="A170" t="e">
            <v>#REF!</v>
          </cell>
          <cell r="B170">
            <v>0</v>
          </cell>
          <cell r="C170">
            <v>0</v>
          </cell>
          <cell r="D170" t="e">
            <v>#REF!</v>
          </cell>
          <cell r="E170">
            <v>0</v>
          </cell>
          <cell r="F170" t="e">
            <v>#REF!</v>
          </cell>
          <cell r="G170">
            <v>0</v>
          </cell>
          <cell r="H170" t="e">
            <v>#REF!</v>
          </cell>
          <cell r="I170">
            <v>0</v>
          </cell>
          <cell r="J170" t="e">
            <v>#REF!</v>
          </cell>
          <cell r="K170">
            <v>0</v>
          </cell>
          <cell r="L170" t="e">
            <v>#REF!</v>
          </cell>
          <cell r="M170">
            <v>0</v>
          </cell>
          <cell r="N170" t="e">
            <v>#REF!</v>
          </cell>
          <cell r="O170">
            <v>0</v>
          </cell>
          <cell r="P170" t="e">
            <v>#REF!</v>
          </cell>
          <cell r="Q170">
            <v>0</v>
          </cell>
          <cell r="R170" t="e">
            <v>#REF!</v>
          </cell>
          <cell r="S170">
            <v>0</v>
          </cell>
          <cell r="T170" t="e">
            <v>#REF!</v>
          </cell>
          <cell r="U170">
            <v>0</v>
          </cell>
          <cell r="V170" t="e">
            <v>#REF!</v>
          </cell>
          <cell r="W170">
            <v>0</v>
          </cell>
          <cell r="X170" t="e">
            <v>#REF!</v>
          </cell>
        </row>
        <row r="171">
          <cell r="A171" t="e">
            <v>#REF!</v>
          </cell>
          <cell r="B171">
            <v>0</v>
          </cell>
          <cell r="C171">
            <v>0</v>
          </cell>
          <cell r="D171" t="e">
            <v>#REF!</v>
          </cell>
          <cell r="E171">
            <v>0</v>
          </cell>
          <cell r="F171" t="e">
            <v>#REF!</v>
          </cell>
          <cell r="G171">
            <v>0</v>
          </cell>
          <cell r="H171" t="e">
            <v>#REF!</v>
          </cell>
          <cell r="I171">
            <v>0</v>
          </cell>
          <cell r="J171" t="e">
            <v>#REF!</v>
          </cell>
          <cell r="K171">
            <v>0</v>
          </cell>
          <cell r="L171" t="e">
            <v>#REF!</v>
          </cell>
          <cell r="M171">
            <v>0</v>
          </cell>
          <cell r="N171" t="e">
            <v>#REF!</v>
          </cell>
          <cell r="O171">
            <v>0</v>
          </cell>
          <cell r="P171" t="e">
            <v>#REF!</v>
          </cell>
          <cell r="Q171">
            <v>0</v>
          </cell>
          <cell r="R171" t="e">
            <v>#REF!</v>
          </cell>
          <cell r="S171">
            <v>0</v>
          </cell>
          <cell r="T171" t="e">
            <v>#REF!</v>
          </cell>
          <cell r="U171">
            <v>0</v>
          </cell>
          <cell r="V171" t="e">
            <v>#REF!</v>
          </cell>
          <cell r="W171">
            <v>0</v>
          </cell>
          <cell r="X171" t="e">
            <v>#REF!</v>
          </cell>
        </row>
        <row r="172">
          <cell r="A172" t="e">
            <v>#REF!</v>
          </cell>
          <cell r="B172">
            <v>0</v>
          </cell>
          <cell r="C172">
            <v>0</v>
          </cell>
          <cell r="D172" t="e">
            <v>#REF!</v>
          </cell>
          <cell r="E172">
            <v>0</v>
          </cell>
          <cell r="F172" t="e">
            <v>#REF!</v>
          </cell>
          <cell r="G172">
            <v>0</v>
          </cell>
          <cell r="H172" t="e">
            <v>#REF!</v>
          </cell>
          <cell r="I172">
            <v>0</v>
          </cell>
          <cell r="J172" t="e">
            <v>#REF!</v>
          </cell>
          <cell r="K172">
            <v>0</v>
          </cell>
          <cell r="L172" t="e">
            <v>#REF!</v>
          </cell>
          <cell r="M172">
            <v>0</v>
          </cell>
          <cell r="N172" t="e">
            <v>#REF!</v>
          </cell>
          <cell r="O172">
            <v>0</v>
          </cell>
          <cell r="P172" t="e">
            <v>#REF!</v>
          </cell>
          <cell r="Q172">
            <v>0</v>
          </cell>
          <cell r="R172" t="e">
            <v>#REF!</v>
          </cell>
          <cell r="S172">
            <v>0</v>
          </cell>
          <cell r="T172" t="e">
            <v>#REF!</v>
          </cell>
          <cell r="U172">
            <v>0</v>
          </cell>
          <cell r="V172" t="e">
            <v>#REF!</v>
          </cell>
          <cell r="W172">
            <v>0</v>
          </cell>
          <cell r="X172" t="e">
            <v>#REF!</v>
          </cell>
        </row>
        <row r="190">
          <cell r="A190" t="str">
            <v>Dollar amounts in U.S. millions except per share data and if otherwise stated.</v>
          </cell>
        </row>
        <row r="191">
          <cell r="A191" t="str">
            <v>(b)</v>
          </cell>
          <cell r="B191" t="str">
            <v>Earnings Estimates were obtained from First Call as of Sep-13-99 and calendarized when necessary.</v>
          </cell>
        </row>
        <row r="192">
          <cell r="A192" t="str">
            <v>(c)</v>
          </cell>
          <cell r="B192" t="str">
            <v>Cash Flow = Income Available to Common + DD&amp;A + Deferred Taxes + Earnings of Unconsolidated Subs.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r@phosagro.ru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1:M22"/>
  <sheetViews>
    <sheetView zoomScaleNormal="100" zoomScaleSheetLayoutView="55" workbookViewId="0">
      <selection activeCell="C11" sqref="C11:G11"/>
    </sheetView>
  </sheetViews>
  <sheetFormatPr defaultColWidth="9.109375" defaultRowHeight="13.2"/>
  <cols>
    <col min="1" max="1" width="2.5546875" style="1" customWidth="1"/>
    <col min="2" max="2" width="5.44140625" style="1" customWidth="1"/>
    <col min="3" max="4" width="9.109375" style="1"/>
    <col min="5" max="5" width="9.5546875" style="1" customWidth="1"/>
    <col min="6" max="15" width="9.109375" style="1"/>
    <col min="16" max="16" width="15.6640625" style="1" customWidth="1"/>
    <col min="17" max="17" width="2.5546875" style="1" customWidth="1"/>
    <col min="18" max="16384" width="9.109375" style="1"/>
  </cols>
  <sheetData>
    <row r="1" spans="2:13" ht="14.25" customHeight="1"/>
    <row r="3" spans="2:13" ht="22.8">
      <c r="B3" s="20" t="s">
        <v>12</v>
      </c>
    </row>
    <row r="4" spans="2:13" ht="22.8">
      <c r="B4" s="20" t="s">
        <v>13</v>
      </c>
    </row>
    <row r="6" spans="2:13" ht="15">
      <c r="B6" s="18"/>
    </row>
    <row r="7" spans="2:13">
      <c r="B7" s="14"/>
    </row>
    <row r="8" spans="2:13" ht="15.6">
      <c r="B8" s="15"/>
      <c r="C8" s="122" t="s">
        <v>2</v>
      </c>
    </row>
    <row r="9" spans="2:13" ht="15">
      <c r="B9" s="16"/>
      <c r="C9" s="146" t="s">
        <v>14</v>
      </c>
      <c r="D9" s="147"/>
      <c r="E9" s="147"/>
      <c r="F9" s="147"/>
      <c r="G9" s="148"/>
      <c r="J9" s="21"/>
    </row>
    <row r="10" spans="2:13" ht="15">
      <c r="B10" s="16"/>
      <c r="J10" s="21"/>
    </row>
    <row r="11" spans="2:13" ht="15">
      <c r="B11" s="16"/>
      <c r="C11" s="146" t="s">
        <v>65</v>
      </c>
      <c r="D11" s="147"/>
      <c r="E11" s="147"/>
      <c r="F11" s="147"/>
      <c r="G11" s="148"/>
      <c r="J11" s="21"/>
    </row>
    <row r="12" spans="2:13">
      <c r="B12" s="11"/>
    </row>
    <row r="13" spans="2:13" ht="15">
      <c r="B13" s="11"/>
      <c r="C13" s="146" t="s">
        <v>15</v>
      </c>
      <c r="D13" s="147"/>
      <c r="E13" s="147"/>
      <c r="F13" s="147"/>
      <c r="G13" s="148"/>
    </row>
    <row r="15" spans="2:13" ht="15.6">
      <c r="B15" s="13"/>
      <c r="C15" s="146" t="s">
        <v>16</v>
      </c>
      <c r="D15" s="147"/>
      <c r="E15" s="147"/>
      <c r="F15" s="147"/>
      <c r="G15" s="148"/>
      <c r="H15" s="10"/>
      <c r="L15"/>
      <c r="M15"/>
    </row>
    <row r="16" spans="2:13" ht="15">
      <c r="B16" s="9"/>
      <c r="C16" s="11"/>
      <c r="D16" s="11"/>
      <c r="E16" s="11"/>
      <c r="F16" s="11"/>
      <c r="G16" s="11"/>
    </row>
    <row r="17" spans="2:7" ht="15">
      <c r="B17" s="9"/>
      <c r="C17" s="11"/>
      <c r="D17" s="11"/>
      <c r="E17" s="11"/>
      <c r="F17" s="11"/>
      <c r="G17" s="11"/>
    </row>
    <row r="18" spans="2:7">
      <c r="D18" s="11"/>
      <c r="E18" s="11"/>
      <c r="F18" s="11"/>
      <c r="G18" s="11"/>
    </row>
    <row r="19" spans="2:7" ht="15.6">
      <c r="C19" s="22" t="s">
        <v>17</v>
      </c>
      <c r="D19" s="17"/>
      <c r="E19" s="17"/>
      <c r="F19" s="12"/>
      <c r="G19" s="12"/>
    </row>
    <row r="20" spans="2:7" ht="15">
      <c r="C20" s="21" t="s">
        <v>4</v>
      </c>
      <c r="D20" s="19"/>
      <c r="E20" s="19"/>
      <c r="F20" s="11"/>
      <c r="G20" s="11"/>
    </row>
    <row r="21" spans="2:7" ht="13.8">
      <c r="C21" s="23" t="s">
        <v>3</v>
      </c>
      <c r="D21" s="11"/>
      <c r="E21" s="11"/>
      <c r="F21" s="11"/>
      <c r="G21" s="11"/>
    </row>
    <row r="22" spans="2:7">
      <c r="D22" s="11"/>
      <c r="E22" s="11"/>
      <c r="F22" s="11"/>
      <c r="G22" s="11"/>
    </row>
  </sheetData>
  <mergeCells count="4">
    <mergeCell ref="C9:G9"/>
    <mergeCell ref="C13:G13"/>
    <mergeCell ref="C11:G11"/>
    <mergeCell ref="C15:G15"/>
  </mergeCells>
  <hyperlinks>
    <hyperlink ref="C15" location="'Stock charts'!A1" display="STOCK CHARTS"/>
    <hyperlink ref="C9" location="'Summary result '!A1" display="SUMMARY RESULT"/>
    <hyperlink ref="C13" location="'Price performance'!A1" display="PRICE PERFORMANCE"/>
    <hyperlink ref="C9:E9" location="ЭКОЛОГИЯ!A1" display="ENVIRONMENT"/>
    <hyperlink ref="C13:E13" location="'СОЦИАЛЬНАЯ ОТВЕТСТВЕННОСТЬ'!A1" display="SOCIAL"/>
    <hyperlink ref="C15:E15" location="'КОРПОРАТИВНОЕ УПРАВЛЕНИЕ'!A1" display="GOVERNANCE"/>
    <hyperlink ref="C21" r:id="rId1"/>
    <hyperlink ref="C11" location="'Summary result '!A1" display="SUMMARY RESULT"/>
    <hyperlink ref="C11:E11" location="ЭКОЛОГИЯ!A1" display="ENVIRONMENT"/>
    <hyperlink ref="C11:G11" location="'ENERGY EFFICIENCY'!A1" display="ENERGY EFFICIENCY"/>
    <hyperlink ref="C9:G9" location="ENVIRONMENT!A1" display="ENVIRONMENT"/>
    <hyperlink ref="C13:G13" location="SOCIAL!A1" display="SOCIAL"/>
    <hyperlink ref="C15:G15" location="GOVERNANCE!A1" display="GOVERNANCE"/>
  </hyperlinks>
  <pageMargins left="0.7" right="0.7" top="0.75" bottom="0.75" header="0.3" footer="0.3"/>
  <pageSetup paperSize="9" scale="3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K91"/>
  <sheetViews>
    <sheetView showGridLines="0" topLeftCell="A13" zoomScaleNormal="100" zoomScaleSheetLayoutView="85" workbookViewId="0">
      <selection activeCell="K24" sqref="K24"/>
    </sheetView>
  </sheetViews>
  <sheetFormatPr defaultRowHeight="14.4"/>
  <cols>
    <col min="1" max="1" width="47.88671875" bestFit="1" customWidth="1"/>
    <col min="2" max="2" width="17.33203125" customWidth="1"/>
    <col min="3" max="3" width="12.88671875" bestFit="1" customWidth="1"/>
    <col min="4" max="4" width="14.33203125" customWidth="1"/>
    <col min="5" max="5" width="12.88671875" bestFit="1" customWidth="1"/>
    <col min="6" max="6" width="14.33203125" customWidth="1"/>
    <col min="7" max="7" width="12.88671875" bestFit="1" customWidth="1"/>
    <col min="8" max="9" width="14.44140625" customWidth="1"/>
    <col min="10" max="10" width="12.88671875" bestFit="1" customWidth="1"/>
    <col min="11" max="11" width="14.6640625" customWidth="1"/>
  </cols>
  <sheetData>
    <row r="1" spans="1:11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5.6">
      <c r="A2" s="70" t="s">
        <v>18</v>
      </c>
      <c r="B2" s="24"/>
      <c r="C2" s="24"/>
      <c r="D2" s="24"/>
      <c r="E2" s="24"/>
      <c r="F2" s="24"/>
      <c r="G2" s="24"/>
      <c r="H2" s="24"/>
      <c r="I2" s="24"/>
      <c r="J2" s="3"/>
      <c r="K2" s="3"/>
    </row>
    <row r="3" spans="1:11">
      <c r="A3" s="3"/>
      <c r="B3" s="3"/>
      <c r="C3" s="3"/>
      <c r="D3" s="3"/>
      <c r="E3" s="3"/>
      <c r="F3" s="3"/>
      <c r="G3" s="3"/>
      <c r="H3" s="3"/>
      <c r="I3" s="3"/>
      <c r="J3" s="3"/>
    </row>
    <row r="4" spans="1:11">
      <c r="A4" s="3"/>
      <c r="B4" s="3"/>
      <c r="C4" s="3"/>
      <c r="D4" s="3"/>
      <c r="E4" s="3"/>
      <c r="F4" s="3"/>
      <c r="G4" s="3"/>
      <c r="H4" s="3"/>
      <c r="I4" s="3"/>
      <c r="J4" s="3"/>
    </row>
    <row r="5" spans="1:11">
      <c r="A5" s="25" t="s">
        <v>19</v>
      </c>
      <c r="B5" s="39" t="s">
        <v>28</v>
      </c>
      <c r="C5" s="36">
        <v>2013</v>
      </c>
      <c r="D5" s="36">
        <v>2014</v>
      </c>
      <c r="E5" s="36">
        <v>2015</v>
      </c>
      <c r="F5" s="36">
        <v>2016</v>
      </c>
      <c r="G5" s="36">
        <v>2017</v>
      </c>
      <c r="H5" s="36">
        <v>2018</v>
      </c>
      <c r="I5" s="109">
        <v>2019</v>
      </c>
      <c r="J5" s="36" t="s">
        <v>30</v>
      </c>
      <c r="K5" s="2"/>
    </row>
    <row r="6" spans="1:11">
      <c r="A6" s="26" t="s">
        <v>20</v>
      </c>
      <c r="B6" s="30" t="s">
        <v>29</v>
      </c>
      <c r="C6" s="32">
        <v>1.3338224696566123</v>
      </c>
      <c r="D6" s="32">
        <v>1.2131776748884397</v>
      </c>
      <c r="E6" s="32">
        <v>1.2052215614417767</v>
      </c>
      <c r="F6" s="32">
        <v>1.1643115971507914</v>
      </c>
      <c r="G6" s="32">
        <v>1.1311721586944072</v>
      </c>
      <c r="H6" s="32">
        <v>1.0484901291066027</v>
      </c>
      <c r="I6" s="33">
        <v>0.88800000000000001</v>
      </c>
      <c r="J6" s="59">
        <v>0.8</v>
      </c>
      <c r="K6" s="2"/>
    </row>
    <row r="7" spans="1:11">
      <c r="A7" s="27" t="s">
        <v>21</v>
      </c>
      <c r="B7" s="30" t="s">
        <v>29</v>
      </c>
      <c r="C7" s="32">
        <v>1.4294478832280333</v>
      </c>
      <c r="D7" s="32">
        <v>1.4345488374505038</v>
      </c>
      <c r="E7" s="32">
        <v>1.3247797647279242</v>
      </c>
      <c r="F7" s="32">
        <v>1.2135613638696203</v>
      </c>
      <c r="G7" s="32">
        <v>1.0565546823764136</v>
      </c>
      <c r="H7" s="32">
        <v>1.0602180152130962</v>
      </c>
      <c r="I7" s="33">
        <v>0.79300000000000004</v>
      </c>
      <c r="J7" s="2"/>
      <c r="K7" s="2"/>
    </row>
    <row r="8" spans="1:11">
      <c r="A8" s="27" t="s">
        <v>22</v>
      </c>
      <c r="B8" s="30" t="s">
        <v>29</v>
      </c>
      <c r="C8" s="32">
        <v>1.2556664394868762</v>
      </c>
      <c r="D8" s="32">
        <v>1.1150725695973982</v>
      </c>
      <c r="E8" s="32">
        <v>1.0126853752207472</v>
      </c>
      <c r="F8" s="32">
        <v>1.0876446008411487</v>
      </c>
      <c r="G8" s="32">
        <v>1.3269983414561004</v>
      </c>
      <c r="H8" s="32">
        <v>1.2514266324286705</v>
      </c>
      <c r="I8" s="33">
        <v>1.177</v>
      </c>
      <c r="J8" s="2"/>
      <c r="K8" s="2"/>
    </row>
    <row r="9" spans="1:11">
      <c r="A9" s="26" t="s">
        <v>23</v>
      </c>
      <c r="B9" s="30" t="s">
        <v>29</v>
      </c>
      <c r="C9" s="32">
        <v>4.0083442492994603</v>
      </c>
      <c r="D9" s="32">
        <v>3.2219796079462348</v>
      </c>
      <c r="E9" s="32">
        <v>1.7783217461569587</v>
      </c>
      <c r="F9" s="32">
        <v>2.618529289341839</v>
      </c>
      <c r="G9" s="32">
        <v>2.5064916461030791</v>
      </c>
      <c r="H9" s="32">
        <v>1.8647957214903015</v>
      </c>
      <c r="I9" s="33">
        <v>1.89</v>
      </c>
      <c r="J9" s="2"/>
      <c r="K9" s="2"/>
    </row>
    <row r="10" spans="1:11">
      <c r="A10" s="27" t="s">
        <v>25</v>
      </c>
      <c r="B10" s="30" t="s">
        <v>29</v>
      </c>
      <c r="C10" s="32">
        <v>1.1582979041086345</v>
      </c>
      <c r="D10" s="32">
        <v>0.96681874159603165</v>
      </c>
      <c r="E10" s="32">
        <v>1.1573901624528526</v>
      </c>
      <c r="F10" s="32">
        <v>1.0887956691750571</v>
      </c>
      <c r="G10" s="32">
        <v>1.046790051414676</v>
      </c>
      <c r="H10" s="32">
        <v>0.916342138906591</v>
      </c>
      <c r="I10" s="33">
        <v>0.80300000000000005</v>
      </c>
      <c r="J10" s="2"/>
      <c r="K10" s="2"/>
    </row>
    <row r="11" spans="1:11">
      <c r="A11" s="27" t="s">
        <v>27</v>
      </c>
      <c r="B11" s="30" t="s">
        <v>6</v>
      </c>
      <c r="C11" s="32">
        <v>1.5096469692354553</v>
      </c>
      <c r="D11" s="32">
        <v>1.4986664586583462</v>
      </c>
      <c r="E11" s="32">
        <v>1.8434731769996786</v>
      </c>
      <c r="F11" s="32">
        <v>2.1707547304534094</v>
      </c>
      <c r="G11" s="32">
        <v>1.9921891891891892</v>
      </c>
      <c r="H11" s="32">
        <v>1.558289551437013</v>
      </c>
      <c r="I11" s="33">
        <f>4717.9/I89</f>
        <v>1.2308635533524654</v>
      </c>
      <c r="J11" s="2"/>
      <c r="K11" s="2"/>
    </row>
    <row r="12" spans="1:11">
      <c r="A12" s="28" t="s">
        <v>26</v>
      </c>
      <c r="B12" s="31" t="s">
        <v>6</v>
      </c>
      <c r="C12" s="34">
        <v>3.9846356990557417</v>
      </c>
      <c r="D12" s="34">
        <v>2.8555653666146643</v>
      </c>
      <c r="E12" s="34">
        <v>3.3229701252810795</v>
      </c>
      <c r="F12" s="34">
        <v>3.8040060692609781</v>
      </c>
      <c r="G12" s="34">
        <v>3.6803413770913775</v>
      </c>
      <c r="H12" s="34">
        <v>3.0514431909750197</v>
      </c>
      <c r="I12" s="35">
        <f>11211.1/I89</f>
        <v>2.9248891207931127</v>
      </c>
      <c r="J12" s="2"/>
      <c r="K12" s="2"/>
    </row>
    <row r="13" spans="1:11">
      <c r="A13" s="2"/>
      <c r="B13" s="2"/>
      <c r="C13" s="2"/>
      <c r="D13" s="32"/>
      <c r="E13" s="32"/>
      <c r="F13" s="32"/>
      <c r="G13" s="32"/>
      <c r="H13" s="2"/>
      <c r="I13" s="2"/>
      <c r="J13" s="2"/>
      <c r="K13" s="2"/>
    </row>
    <row r="14" spans="1:11">
      <c r="A14" s="25" t="s">
        <v>31</v>
      </c>
      <c r="B14" s="39" t="s">
        <v>28</v>
      </c>
      <c r="C14" s="36">
        <v>2013</v>
      </c>
      <c r="D14" s="36">
        <v>2014</v>
      </c>
      <c r="E14" s="36">
        <v>2015</v>
      </c>
      <c r="F14" s="36">
        <v>2016</v>
      </c>
      <c r="G14" s="36">
        <v>2017</v>
      </c>
      <c r="H14" s="36">
        <v>2018</v>
      </c>
      <c r="I14" s="109">
        <v>2019</v>
      </c>
      <c r="J14" s="2"/>
      <c r="K14" s="2"/>
    </row>
    <row r="15" spans="1:11">
      <c r="A15" s="26" t="s">
        <v>20</v>
      </c>
      <c r="B15" s="30" t="s">
        <v>33</v>
      </c>
      <c r="C15" s="32">
        <v>9.3574210162704539</v>
      </c>
      <c r="D15" s="32">
        <v>9.2723821255896564</v>
      </c>
      <c r="E15" s="32">
        <v>8.9159275810427339</v>
      </c>
      <c r="F15" s="32">
        <v>8.5894138013533166</v>
      </c>
      <c r="G15" s="32">
        <v>8.1413063049243615</v>
      </c>
      <c r="H15" s="32">
        <v>6.9547795303920266</v>
      </c>
      <c r="I15" s="33">
        <v>5.8490000000000002</v>
      </c>
      <c r="J15" s="2"/>
      <c r="K15" s="2"/>
    </row>
    <row r="16" spans="1:11">
      <c r="A16" s="27" t="s">
        <v>21</v>
      </c>
      <c r="B16" s="30" t="s">
        <v>33</v>
      </c>
      <c r="C16" s="32">
        <v>20.619487364274882</v>
      </c>
      <c r="D16" s="32">
        <v>21.422850015218525</v>
      </c>
      <c r="E16" s="32">
        <v>21.056412609288756</v>
      </c>
      <c r="F16" s="32">
        <v>20.187135404368014</v>
      </c>
      <c r="G16" s="32">
        <v>18.870997021782571</v>
      </c>
      <c r="H16" s="32">
        <v>15.894318088711781</v>
      </c>
      <c r="I16" s="33">
        <f>154404/I82</f>
        <v>13.274028447853</v>
      </c>
      <c r="J16" s="2"/>
      <c r="K16" s="2"/>
    </row>
    <row r="17" spans="1:11">
      <c r="A17" s="27" t="s">
        <v>22</v>
      </c>
      <c r="B17" s="30" t="s">
        <v>33</v>
      </c>
      <c r="C17" s="32">
        <v>1.5748224211307496</v>
      </c>
      <c r="D17" s="32">
        <v>1.5296778948196355</v>
      </c>
      <c r="E17" s="32">
        <v>1.5358619028395704</v>
      </c>
      <c r="F17" s="32">
        <v>1.457682379203201</v>
      </c>
      <c r="G17" s="32">
        <v>1.450298792307197</v>
      </c>
      <c r="H17" s="32">
        <v>1.4303212133962206</v>
      </c>
      <c r="I17" s="33">
        <f>8498/I83</f>
        <v>1.4281102204645573</v>
      </c>
      <c r="J17" s="2"/>
      <c r="K17" s="2"/>
    </row>
    <row r="18" spans="1:11">
      <c r="A18" s="26" t="s">
        <v>23</v>
      </c>
      <c r="B18" s="30" t="s">
        <v>33</v>
      </c>
      <c r="C18" s="32">
        <v>7.0126890327403606</v>
      </c>
      <c r="D18" s="32">
        <v>6.4127222214594424</v>
      </c>
      <c r="E18" s="32">
        <v>4.8986084356589199</v>
      </c>
      <c r="F18" s="32">
        <v>4.5267586638511075</v>
      </c>
      <c r="G18" s="32">
        <v>4.5122464633128541</v>
      </c>
      <c r="H18" s="32">
        <v>3.3817300705387803</v>
      </c>
      <c r="I18" s="33">
        <f>2339/I84</f>
        <v>3.8050318593739609</v>
      </c>
      <c r="J18" s="2"/>
      <c r="K18" s="2"/>
    </row>
    <row r="19" spans="1:11">
      <c r="A19" s="28" t="s">
        <v>24</v>
      </c>
      <c r="B19" s="31" t="s">
        <v>33</v>
      </c>
      <c r="C19" s="34">
        <v>2.2163637109202181</v>
      </c>
      <c r="D19" s="34">
        <v>2.1298778052021925</v>
      </c>
      <c r="E19" s="34">
        <v>1.9565375306065855</v>
      </c>
      <c r="F19" s="34">
        <v>1.9465384181275196</v>
      </c>
      <c r="G19" s="34">
        <v>2.0691579473200226</v>
      </c>
      <c r="H19" s="34">
        <v>2.1324165947826077</v>
      </c>
      <c r="I19" s="35">
        <f>33863/I85</f>
        <v>2.3676119401094176</v>
      </c>
      <c r="J19" s="2"/>
      <c r="K19" s="2"/>
    </row>
    <row r="20" spans="1:11">
      <c r="A20" s="2"/>
      <c r="B20" s="2"/>
      <c r="C20" s="2"/>
      <c r="D20" s="32"/>
      <c r="E20" s="32"/>
      <c r="F20" s="32"/>
      <c r="G20" s="32"/>
      <c r="H20" s="2"/>
      <c r="I20" s="2"/>
      <c r="J20" s="2"/>
      <c r="K20" s="2"/>
    </row>
    <row r="21" spans="1:11">
      <c r="A21" s="25" t="s">
        <v>34</v>
      </c>
      <c r="B21" s="39" t="s">
        <v>28</v>
      </c>
      <c r="C21" s="36">
        <v>2013</v>
      </c>
      <c r="D21" s="36">
        <v>2014</v>
      </c>
      <c r="E21" s="36">
        <v>2015</v>
      </c>
      <c r="F21" s="36">
        <v>2016</v>
      </c>
      <c r="G21" s="36">
        <v>2017</v>
      </c>
      <c r="H21" s="36">
        <v>2018</v>
      </c>
      <c r="I21" s="109">
        <v>2019</v>
      </c>
      <c r="J21" s="109" t="s">
        <v>30</v>
      </c>
      <c r="K21" s="2"/>
    </row>
    <row r="22" spans="1:11">
      <c r="A22" s="26" t="s">
        <v>20</v>
      </c>
      <c r="B22" s="30" t="s">
        <v>33</v>
      </c>
      <c r="C22" s="32">
        <v>8.2619356639728494</v>
      </c>
      <c r="D22" s="32">
        <v>8.1133866752770398</v>
      </c>
      <c r="E22" s="32">
        <v>7.8585094356514551</v>
      </c>
      <c r="F22" s="32">
        <v>7.7658573922197434</v>
      </c>
      <c r="G22" s="32">
        <v>7.4761683405007178</v>
      </c>
      <c r="H22" s="32">
        <v>6.0394382714564756</v>
      </c>
      <c r="I22" s="33">
        <v>4.6840000000000002</v>
      </c>
      <c r="J22" s="59">
        <v>4.4000000000000004</v>
      </c>
      <c r="K22" s="2"/>
    </row>
    <row r="23" spans="1:11">
      <c r="A23" s="27" t="s">
        <v>21</v>
      </c>
      <c r="B23" s="30" t="s">
        <v>33</v>
      </c>
      <c r="C23" s="32">
        <v>19.969893464116829</v>
      </c>
      <c r="D23" s="32">
        <v>20.814459281835184</v>
      </c>
      <c r="E23" s="32">
        <v>20.365531838964699</v>
      </c>
      <c r="F23" s="32">
        <v>20.028109179975658</v>
      </c>
      <c r="G23" s="32">
        <v>19.048797306217672</v>
      </c>
      <c r="H23" s="32">
        <v>15.625449193063769</v>
      </c>
      <c r="I23" s="124">
        <v>11.811</v>
      </c>
      <c r="J23" s="2"/>
      <c r="K23" s="2"/>
    </row>
    <row r="24" spans="1:11">
      <c r="A24" s="27" t="s">
        <v>22</v>
      </c>
      <c r="B24" s="30" t="s">
        <v>33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124">
        <v>0</v>
      </c>
      <c r="J24" s="2"/>
      <c r="K24" s="2"/>
    </row>
    <row r="25" spans="1:11">
      <c r="A25" s="26" t="s">
        <v>23</v>
      </c>
      <c r="B25" s="30" t="s">
        <v>33</v>
      </c>
      <c r="C25" s="32">
        <v>2.8164903327192423</v>
      </c>
      <c r="D25" s="32">
        <v>2.0031696163395725</v>
      </c>
      <c r="E25" s="32">
        <v>2.2062396270490314</v>
      </c>
      <c r="F25" s="32">
        <v>2.2619146817522995</v>
      </c>
      <c r="G25" s="32">
        <v>1.6189570948987391</v>
      </c>
      <c r="H25" s="32">
        <v>0.21556612988176033</v>
      </c>
      <c r="I25" s="124">
        <v>0</v>
      </c>
      <c r="J25" s="2"/>
      <c r="K25" s="2"/>
    </row>
    <row r="26" spans="1:11">
      <c r="A26" s="28" t="s">
        <v>24</v>
      </c>
      <c r="B26" s="31" t="s">
        <v>33</v>
      </c>
      <c r="C26" s="34">
        <v>1.0508459154774681</v>
      </c>
      <c r="D26" s="34">
        <v>0.80269167273155106</v>
      </c>
      <c r="E26" s="34">
        <v>0.88014229413561063</v>
      </c>
      <c r="F26" s="34">
        <v>0.90047818992888562</v>
      </c>
      <c r="G26" s="34">
        <v>1.1285946880475648</v>
      </c>
      <c r="H26" s="34">
        <v>1.0117574559897242</v>
      </c>
      <c r="I26" s="125">
        <v>1.0369999999999999</v>
      </c>
      <c r="J26" s="2"/>
      <c r="K26" s="2"/>
    </row>
    <row r="27" spans="1:11">
      <c r="A27" s="108"/>
      <c r="B27" s="29"/>
      <c r="C27" s="38"/>
      <c r="D27" s="38"/>
      <c r="E27" s="38"/>
      <c r="F27" s="38"/>
      <c r="G27" s="38"/>
      <c r="H27" s="38"/>
      <c r="I27" s="38"/>
      <c r="J27" s="2"/>
      <c r="K27" s="2"/>
    </row>
    <row r="28" spans="1:11">
      <c r="A28" s="25" t="s">
        <v>35</v>
      </c>
      <c r="B28" s="39" t="s">
        <v>28</v>
      </c>
      <c r="C28" s="36">
        <v>2013</v>
      </c>
      <c r="D28" s="36">
        <v>2014</v>
      </c>
      <c r="E28" s="36">
        <v>2015</v>
      </c>
      <c r="F28" s="36">
        <v>2016</v>
      </c>
      <c r="G28" s="36">
        <v>2017</v>
      </c>
      <c r="H28" s="36">
        <v>2018</v>
      </c>
      <c r="I28" s="109">
        <v>2019</v>
      </c>
      <c r="J28" s="2"/>
      <c r="K28" s="2"/>
    </row>
    <row r="29" spans="1:11">
      <c r="A29" s="26" t="s">
        <v>20</v>
      </c>
      <c r="B29" s="30" t="s">
        <v>29</v>
      </c>
      <c r="C29" s="32">
        <v>3.6841001703429406</v>
      </c>
      <c r="D29" s="32">
        <v>3.3007890202572363</v>
      </c>
      <c r="E29" s="32">
        <v>3.255374997839604</v>
      </c>
      <c r="F29" s="32">
        <v>1.2574540115312103</v>
      </c>
      <c r="G29" s="32">
        <v>1.0308684823907817</v>
      </c>
      <c r="H29" s="32">
        <v>0.77244378354818455</v>
      </c>
      <c r="I29" s="33">
        <v>0.61399999999999999</v>
      </c>
      <c r="J29" s="2"/>
      <c r="K29" s="2"/>
    </row>
    <row r="30" spans="1:11">
      <c r="A30" s="27" t="s">
        <v>21</v>
      </c>
      <c r="B30" s="30" t="s">
        <v>29</v>
      </c>
      <c r="C30" s="32">
        <v>8.0732874944347142</v>
      </c>
      <c r="D30" s="32">
        <v>8.0742264686358496</v>
      </c>
      <c r="E30" s="32">
        <v>7.9864824279174611</v>
      </c>
      <c r="F30" s="32">
        <v>2.4419444828935584</v>
      </c>
      <c r="G30" s="32">
        <v>1.9224436209489029</v>
      </c>
      <c r="H30" s="32">
        <v>1.482977208425911</v>
      </c>
      <c r="I30" s="33">
        <v>1.0680000000000001</v>
      </c>
      <c r="J30" s="2"/>
      <c r="K30" s="2"/>
    </row>
    <row r="31" spans="1:11">
      <c r="A31" s="27" t="s">
        <v>22</v>
      </c>
      <c r="B31" s="30" t="s">
        <v>29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3">
        <v>0</v>
      </c>
      <c r="J31" s="2"/>
      <c r="K31" s="2"/>
    </row>
    <row r="32" spans="1:11">
      <c r="A32" s="26" t="s">
        <v>23</v>
      </c>
      <c r="B32" s="30" t="s">
        <v>29</v>
      </c>
      <c r="C32" s="32">
        <v>10.316387565532365</v>
      </c>
      <c r="D32" s="32">
        <v>2.8945651276028297</v>
      </c>
      <c r="E32" s="32">
        <v>5.4145683994621363</v>
      </c>
      <c r="F32" s="32">
        <v>4.4652037714346102</v>
      </c>
      <c r="G32" s="32">
        <v>2.7222643952218042</v>
      </c>
      <c r="H32" s="32">
        <v>0.2713355496307181</v>
      </c>
      <c r="I32" s="33">
        <v>0</v>
      </c>
      <c r="J32" s="2"/>
      <c r="K32" s="2"/>
    </row>
    <row r="33" spans="1:11">
      <c r="A33" s="28" t="s">
        <v>24</v>
      </c>
      <c r="B33" s="31" t="s">
        <v>29</v>
      </c>
      <c r="C33" s="34">
        <v>0.86141653308469812</v>
      </c>
      <c r="D33" s="34">
        <v>0.5786921631811327</v>
      </c>
      <c r="E33" s="34">
        <v>0.51580943207340613</v>
      </c>
      <c r="F33" s="34">
        <v>0.65027647445741699</v>
      </c>
      <c r="G33" s="34">
        <v>0.6414537868811947</v>
      </c>
      <c r="H33" s="34">
        <v>0.53640979709489567</v>
      </c>
      <c r="I33" s="35">
        <v>0.52700000000000002</v>
      </c>
      <c r="J33" s="2"/>
      <c r="K33" s="2"/>
    </row>
    <row r="34" spans="1:11">
      <c r="A34" s="2"/>
      <c r="B34" s="2"/>
      <c r="C34" s="2"/>
      <c r="D34" s="32"/>
      <c r="E34" s="32"/>
      <c r="F34" s="32"/>
      <c r="G34" s="32"/>
      <c r="H34" s="2"/>
      <c r="I34" s="2"/>
      <c r="J34" s="2"/>
      <c r="K34" s="2"/>
    </row>
    <row r="35" spans="1:11">
      <c r="A35" s="25" t="s">
        <v>36</v>
      </c>
      <c r="B35" s="39" t="s">
        <v>28</v>
      </c>
      <c r="C35" s="36">
        <v>2013</v>
      </c>
      <c r="D35" s="36">
        <v>2014</v>
      </c>
      <c r="E35" s="36">
        <v>2015</v>
      </c>
      <c r="F35" s="36">
        <v>2016</v>
      </c>
      <c r="G35" s="36">
        <v>2017</v>
      </c>
      <c r="H35" s="36">
        <v>2018</v>
      </c>
      <c r="I35" s="109">
        <v>2019</v>
      </c>
      <c r="J35" s="109" t="s">
        <v>30</v>
      </c>
      <c r="K35" s="2"/>
    </row>
    <row r="36" spans="1:11">
      <c r="A36" s="26" t="s">
        <v>20</v>
      </c>
      <c r="B36" s="30" t="s">
        <v>29</v>
      </c>
      <c r="C36" s="32" t="s">
        <v>37</v>
      </c>
      <c r="D36" s="32" t="s">
        <v>37</v>
      </c>
      <c r="E36" s="32">
        <v>125.3405562580088</v>
      </c>
      <c r="F36" s="32">
        <v>141.46974663686615</v>
      </c>
      <c r="G36" s="32">
        <v>145.94799691476138</v>
      </c>
      <c r="H36" s="32">
        <v>157.97281888836446</v>
      </c>
      <c r="I36" s="33">
        <v>143.27199999999999</v>
      </c>
      <c r="J36" s="59">
        <v>142.17553699952802</v>
      </c>
      <c r="K36" s="2"/>
    </row>
    <row r="37" spans="1:11">
      <c r="A37" s="27" t="s">
        <v>21</v>
      </c>
      <c r="B37" s="30" t="s">
        <v>29</v>
      </c>
      <c r="C37" s="32" t="s">
        <v>37</v>
      </c>
      <c r="D37" s="32" t="s">
        <v>37</v>
      </c>
      <c r="E37" s="32">
        <v>62.03605543035853</v>
      </c>
      <c r="F37" s="32">
        <v>59.676275195801423</v>
      </c>
      <c r="G37" s="32">
        <v>54.243615084202894</v>
      </c>
      <c r="H37" s="32">
        <v>53.041926718572057</v>
      </c>
      <c r="I37" s="33">
        <v>54.701999999999998</v>
      </c>
      <c r="J37" s="2"/>
      <c r="K37" s="2"/>
    </row>
    <row r="38" spans="1:11">
      <c r="A38" s="27" t="s">
        <v>22</v>
      </c>
      <c r="B38" s="30" t="s">
        <v>29</v>
      </c>
      <c r="C38" s="32" t="s">
        <v>37</v>
      </c>
      <c r="D38" s="32" t="s">
        <v>37</v>
      </c>
      <c r="E38" s="32">
        <v>29.140373672104896</v>
      </c>
      <c r="F38" s="32">
        <v>34.78272774283279</v>
      </c>
      <c r="G38" s="32">
        <v>30.718401608518782</v>
      </c>
      <c r="H38" s="32">
        <v>28.427454065744676</v>
      </c>
      <c r="I38" s="33">
        <v>25.65</v>
      </c>
      <c r="J38" s="2"/>
      <c r="K38" s="2"/>
    </row>
    <row r="39" spans="1:11">
      <c r="A39" s="26" t="s">
        <v>23</v>
      </c>
      <c r="B39" s="30" t="s">
        <v>29</v>
      </c>
      <c r="C39" s="32" t="s">
        <v>37</v>
      </c>
      <c r="D39" s="32" t="s">
        <v>37</v>
      </c>
      <c r="E39" s="32">
        <v>221.6783589074318</v>
      </c>
      <c r="F39" s="32">
        <v>207.33310756608586</v>
      </c>
      <c r="G39" s="32">
        <v>183.86028111707446</v>
      </c>
      <c r="H39" s="32">
        <v>181.49742222643223</v>
      </c>
      <c r="I39" s="33">
        <v>197.36799999999999</v>
      </c>
      <c r="J39" s="2"/>
      <c r="K39" s="2"/>
    </row>
    <row r="40" spans="1:11">
      <c r="A40" s="26" t="s">
        <v>24</v>
      </c>
      <c r="B40" s="30" t="s">
        <v>29</v>
      </c>
      <c r="C40" s="32" t="s">
        <v>37</v>
      </c>
      <c r="D40" s="32" t="s">
        <v>37</v>
      </c>
      <c r="E40" s="32">
        <v>216.84222116758258</v>
      </c>
      <c r="F40" s="32">
        <v>257.62586855217654</v>
      </c>
      <c r="G40" s="32">
        <v>272.43203624820342</v>
      </c>
      <c r="H40" s="32">
        <v>295.23489144278392</v>
      </c>
      <c r="I40" s="33">
        <v>261.91500000000002</v>
      </c>
      <c r="J40" s="2"/>
      <c r="K40" s="2"/>
    </row>
    <row r="41" spans="1:11">
      <c r="A41" s="28" t="s">
        <v>20</v>
      </c>
      <c r="B41" s="31" t="s">
        <v>6</v>
      </c>
      <c r="C41" s="34" t="s">
        <v>37</v>
      </c>
      <c r="D41" s="34" t="s">
        <v>37</v>
      </c>
      <c r="E41" s="34">
        <v>967.18181818181802</v>
      </c>
      <c r="F41" s="34">
        <v>1300.9571581578007</v>
      </c>
      <c r="G41" s="34">
        <v>1348.5045045045044</v>
      </c>
      <c r="H41" s="34">
        <v>1304.1246306741873</v>
      </c>
      <c r="I41" s="35">
        <v>1214.8030000000001</v>
      </c>
      <c r="J41" s="2"/>
      <c r="K41" s="2"/>
    </row>
    <row r="42" spans="1:11">
      <c r="A42" s="2"/>
      <c r="B42" s="2"/>
      <c r="C42" s="2"/>
      <c r="D42" s="32"/>
      <c r="E42" s="32"/>
      <c r="F42" s="32"/>
      <c r="G42" s="32"/>
      <c r="H42" s="2"/>
      <c r="I42" s="2"/>
      <c r="J42" s="2"/>
      <c r="K42" s="2"/>
    </row>
    <row r="43" spans="1:11">
      <c r="A43" s="25" t="s">
        <v>38</v>
      </c>
      <c r="B43" s="39" t="s">
        <v>28</v>
      </c>
      <c r="C43" s="36">
        <v>2013</v>
      </c>
      <c r="D43" s="36">
        <v>2014</v>
      </c>
      <c r="E43" s="36">
        <v>2015</v>
      </c>
      <c r="F43" s="36">
        <v>2016</v>
      </c>
      <c r="G43" s="36">
        <v>2017</v>
      </c>
      <c r="H43" s="36">
        <v>2018</v>
      </c>
      <c r="I43" s="109">
        <v>2019</v>
      </c>
      <c r="J43" s="2"/>
      <c r="K43" s="2"/>
    </row>
    <row r="44" spans="1:11">
      <c r="A44" s="26" t="s">
        <v>20</v>
      </c>
      <c r="B44" s="30" t="s">
        <v>39</v>
      </c>
      <c r="C44" s="32">
        <v>4.5655856750861092</v>
      </c>
      <c r="D44" s="32">
        <v>3.4563081208692528</v>
      </c>
      <c r="E44" s="32">
        <v>3.5780069522742695</v>
      </c>
      <c r="F44" s="32">
        <v>3.6530119221411566</v>
      </c>
      <c r="G44" s="32">
        <v>3.1523444186600273</v>
      </c>
      <c r="H44" s="32">
        <v>3.2251794986848217</v>
      </c>
      <c r="I44" s="33">
        <v>3.4660000000000002</v>
      </c>
      <c r="J44" s="2"/>
      <c r="K44" s="2"/>
    </row>
    <row r="45" spans="1:11">
      <c r="A45" s="27" t="s">
        <v>21</v>
      </c>
      <c r="B45" s="30" t="s">
        <v>39</v>
      </c>
      <c r="C45" s="32">
        <v>10.844799022588566</v>
      </c>
      <c r="D45" s="32">
        <v>8.3327965921670284</v>
      </c>
      <c r="E45" s="32">
        <v>8.881463109293021</v>
      </c>
      <c r="F45" s="32">
        <v>8.9496850282761251</v>
      </c>
      <c r="G45" s="32">
        <v>7.6153690559766556</v>
      </c>
      <c r="H45" s="32">
        <v>8.0419848386230974</v>
      </c>
      <c r="I45" s="33">
        <v>8.7100000000000009</v>
      </c>
      <c r="J45" s="2"/>
      <c r="K45" s="2"/>
    </row>
    <row r="46" spans="1:11">
      <c r="A46" s="27" t="s">
        <v>22</v>
      </c>
      <c r="B46" s="30" t="s">
        <v>39</v>
      </c>
      <c r="C46" s="32">
        <v>0.82835868768836995</v>
      </c>
      <c r="D46" s="32">
        <v>0.86867829204367464</v>
      </c>
      <c r="E46" s="32">
        <v>0.72473392211472254</v>
      </c>
      <c r="F46" s="32">
        <v>0.88056768734603064</v>
      </c>
      <c r="G46" s="32">
        <v>0.89779325811414834</v>
      </c>
      <c r="H46" s="32">
        <v>0.88401928791757267</v>
      </c>
      <c r="I46" s="33">
        <v>0.89400000000000002</v>
      </c>
      <c r="J46" s="2"/>
      <c r="K46" s="2"/>
    </row>
    <row r="47" spans="1:11">
      <c r="A47" s="26" t="s">
        <v>23</v>
      </c>
      <c r="B47" s="30" t="s">
        <v>39</v>
      </c>
      <c r="C47" s="32">
        <v>4.9586097407028924E-3</v>
      </c>
      <c r="D47" s="32">
        <v>4.501656497049502E-3</v>
      </c>
      <c r="E47" s="32">
        <v>3.7522996531269134E-3</v>
      </c>
      <c r="F47" s="32">
        <v>3.958513981768272E-3</v>
      </c>
      <c r="G47" s="32">
        <v>3.5515517224028762E-3</v>
      </c>
      <c r="H47" s="32">
        <v>4.5989076208596295E-3</v>
      </c>
      <c r="I47" s="33">
        <v>2E-3</v>
      </c>
      <c r="J47" s="2"/>
      <c r="K47" s="2"/>
    </row>
    <row r="48" spans="1:11">
      <c r="A48" s="28" t="s">
        <v>24</v>
      </c>
      <c r="B48" s="31" t="s">
        <v>39</v>
      </c>
      <c r="C48" s="34">
        <v>0.45419793132158559</v>
      </c>
      <c r="D48" s="34">
        <v>0.46187336151298791</v>
      </c>
      <c r="E48" s="34">
        <v>0.46992017266083336</v>
      </c>
      <c r="F48" s="34">
        <v>0.48317765870184343</v>
      </c>
      <c r="G48" s="34">
        <v>0.47198004118265979</v>
      </c>
      <c r="H48" s="34">
        <v>0.4284281213854384</v>
      </c>
      <c r="I48" s="35">
        <v>0.42099999999999999</v>
      </c>
      <c r="J48" s="2"/>
      <c r="K48" s="2"/>
    </row>
    <row r="49" spans="1:11">
      <c r="A49" s="2"/>
      <c r="B49" s="2"/>
      <c r="C49" s="2"/>
      <c r="D49" s="32"/>
      <c r="E49" s="32"/>
      <c r="F49" s="32"/>
      <c r="G49" s="32"/>
      <c r="H49" s="2"/>
      <c r="I49" s="2"/>
      <c r="J49" s="2"/>
      <c r="K49" s="2"/>
    </row>
    <row r="50" spans="1:11">
      <c r="A50" s="25" t="s">
        <v>41</v>
      </c>
      <c r="B50" s="39" t="s">
        <v>28</v>
      </c>
      <c r="C50" s="36">
        <v>2013</v>
      </c>
      <c r="D50" s="36">
        <v>2014</v>
      </c>
      <c r="E50" s="36">
        <v>2015</v>
      </c>
      <c r="F50" s="36">
        <v>2016</v>
      </c>
      <c r="G50" s="36">
        <v>2017</v>
      </c>
      <c r="H50" s="36">
        <v>2018</v>
      </c>
      <c r="I50" s="109">
        <v>2019</v>
      </c>
      <c r="J50" s="2"/>
      <c r="K50" s="2"/>
    </row>
    <row r="51" spans="1:11">
      <c r="A51" s="26" t="s">
        <v>20</v>
      </c>
      <c r="B51" s="30" t="s">
        <v>29</v>
      </c>
      <c r="C51" s="32">
        <v>159.46693640137411</v>
      </c>
      <c r="D51" s="32">
        <v>169.42258535114448</v>
      </c>
      <c r="E51" s="32">
        <v>6.9701606259587638</v>
      </c>
      <c r="F51" s="32">
        <v>10.978177092383644</v>
      </c>
      <c r="G51" s="32">
        <v>8.8711012051851057</v>
      </c>
      <c r="H51" s="32">
        <v>5.7792873182136288</v>
      </c>
      <c r="I51" s="33">
        <v>6.1130000000000004</v>
      </c>
      <c r="J51" s="2"/>
      <c r="K51" s="2"/>
    </row>
    <row r="52" spans="1:11">
      <c r="A52" s="27" t="s">
        <v>21</v>
      </c>
      <c r="B52" s="30" t="s">
        <v>29</v>
      </c>
      <c r="C52" s="32">
        <v>3.6842104108234781</v>
      </c>
      <c r="D52" s="32">
        <v>2.9910373019940617</v>
      </c>
      <c r="E52" s="32">
        <v>0.89593732479025556</v>
      </c>
      <c r="F52" s="32">
        <v>0.45772122834606832</v>
      </c>
      <c r="G52" s="32">
        <v>0.30777438798200402</v>
      </c>
      <c r="H52" s="32">
        <v>0.63199303238665949</v>
      </c>
      <c r="I52" s="33">
        <v>0.63500000000000001</v>
      </c>
      <c r="J52" s="2"/>
      <c r="K52" s="2"/>
    </row>
    <row r="53" spans="1:11">
      <c r="A53" s="27" t="s">
        <v>22</v>
      </c>
      <c r="B53" s="30" t="s">
        <v>29</v>
      </c>
      <c r="C53" s="32">
        <v>828.23093946415872</v>
      </c>
      <c r="D53" s="32">
        <v>868.42581532735596</v>
      </c>
      <c r="E53" s="32">
        <v>24.578662871771741</v>
      </c>
      <c r="F53" s="32">
        <v>29.497637295231971</v>
      </c>
      <c r="G53" s="32">
        <v>28.951261608786933</v>
      </c>
      <c r="H53" s="32">
        <v>22.238574629167214</v>
      </c>
      <c r="I53" s="33">
        <v>19.495000000000001</v>
      </c>
      <c r="J53" s="2"/>
      <c r="K53" s="2"/>
    </row>
    <row r="54" spans="1:11">
      <c r="A54" s="26" t="s">
        <v>23</v>
      </c>
      <c r="B54" s="30" t="s">
        <v>29</v>
      </c>
      <c r="C54" s="32">
        <v>1.3823513062936708</v>
      </c>
      <c r="D54" s="32">
        <v>1.6313665521070115</v>
      </c>
      <c r="E54" s="32">
        <v>0.88068536623697868</v>
      </c>
      <c r="F54" s="32">
        <v>0.61601207030083305</v>
      </c>
      <c r="G54" s="32">
        <v>0.92501585230671879</v>
      </c>
      <c r="H54" s="32">
        <v>0.91261489312941968</v>
      </c>
      <c r="I54" s="33">
        <v>2.1869999999999998</v>
      </c>
      <c r="J54" s="2"/>
      <c r="K54" s="2"/>
    </row>
    <row r="55" spans="1:11">
      <c r="A55" s="28" t="s">
        <v>24</v>
      </c>
      <c r="B55" s="31" t="s">
        <v>29</v>
      </c>
      <c r="C55" s="34">
        <v>10.205056968646582</v>
      </c>
      <c r="D55" s="34">
        <v>7.7913831270385128</v>
      </c>
      <c r="E55" s="34">
        <v>4.7633853890947337</v>
      </c>
      <c r="F55" s="34">
        <v>12.203391215603281</v>
      </c>
      <c r="G55" s="34">
        <v>7.8097091400918082</v>
      </c>
      <c r="H55" s="34">
        <v>3.440751002955472</v>
      </c>
      <c r="I55" s="35">
        <v>5.1680000000000001</v>
      </c>
      <c r="J55" s="2"/>
      <c r="K55" s="2"/>
    </row>
    <row r="56" spans="1:11">
      <c r="A56" s="2"/>
      <c r="B56" s="2"/>
      <c r="C56" s="2"/>
      <c r="D56" s="32"/>
      <c r="E56" s="32"/>
      <c r="F56" s="32"/>
      <c r="G56" s="32"/>
      <c r="H56" s="2"/>
      <c r="I56" s="2"/>
      <c r="J56" s="2"/>
      <c r="K56" s="2"/>
    </row>
    <row r="57" spans="1:11">
      <c r="A57" s="25" t="s">
        <v>40</v>
      </c>
      <c r="B57" s="39" t="s">
        <v>28</v>
      </c>
      <c r="C57" s="36">
        <v>2013</v>
      </c>
      <c r="D57" s="36">
        <v>2014</v>
      </c>
      <c r="E57" s="36">
        <v>2015</v>
      </c>
      <c r="F57" s="36">
        <v>2016</v>
      </c>
      <c r="G57" s="36">
        <v>2017</v>
      </c>
      <c r="H57" s="36">
        <v>2018</v>
      </c>
      <c r="I57" s="109">
        <v>2018</v>
      </c>
      <c r="J57" s="109" t="s">
        <v>30</v>
      </c>
      <c r="K57" s="2"/>
    </row>
    <row r="58" spans="1:11">
      <c r="A58" s="60" t="s">
        <v>20</v>
      </c>
      <c r="B58" s="31" t="s">
        <v>0</v>
      </c>
      <c r="C58" s="40">
        <v>15.255325382857787</v>
      </c>
      <c r="D58" s="40">
        <v>8.5672382375449541</v>
      </c>
      <c r="E58" s="40">
        <v>31.032074637115318</v>
      </c>
      <c r="F58" s="40">
        <v>26.762283150064505</v>
      </c>
      <c r="G58" s="40">
        <v>26.334186102819636</v>
      </c>
      <c r="H58" s="40">
        <v>26.815567228988463</v>
      </c>
      <c r="I58" s="41">
        <v>34.5</v>
      </c>
      <c r="J58" s="61">
        <v>40</v>
      </c>
      <c r="K58" s="2"/>
    </row>
    <row r="59" spans="1:11">
      <c r="A59" s="2"/>
      <c r="B59" s="2"/>
      <c r="C59" s="2"/>
      <c r="D59" s="32"/>
      <c r="E59" s="32"/>
      <c r="F59" s="32"/>
      <c r="G59" s="32"/>
      <c r="H59" s="2"/>
      <c r="I59" s="2"/>
      <c r="J59" s="2"/>
      <c r="K59" s="2"/>
    </row>
    <row r="60" spans="1:11">
      <c r="A60" s="42" t="s">
        <v>44</v>
      </c>
      <c r="B60" s="43" t="s">
        <v>28</v>
      </c>
      <c r="C60" s="44">
        <v>2013</v>
      </c>
      <c r="D60" s="44">
        <v>2014</v>
      </c>
      <c r="E60" s="44">
        <v>2015</v>
      </c>
      <c r="F60" s="44">
        <v>2016</v>
      </c>
      <c r="G60" s="44">
        <v>2017</v>
      </c>
      <c r="H60" s="44">
        <v>2018</v>
      </c>
      <c r="I60" s="44">
        <v>2019</v>
      </c>
      <c r="J60" s="2"/>
      <c r="K60" s="2"/>
    </row>
    <row r="61" spans="1:11">
      <c r="A61" s="62" t="s">
        <v>43</v>
      </c>
      <c r="B61" s="102" t="s">
        <v>42</v>
      </c>
      <c r="C61" s="65">
        <v>4499.5427473</v>
      </c>
      <c r="D61" s="65">
        <v>3960.7587929000001</v>
      </c>
      <c r="E61" s="65">
        <v>3441.4052891400006</v>
      </c>
      <c r="F61" s="65">
        <v>4024.4557539299999</v>
      </c>
      <c r="G61" s="65">
        <v>5089.6162581900007</v>
      </c>
      <c r="H61" s="65">
        <v>8210.0297399999999</v>
      </c>
      <c r="I61" s="66">
        <v>9059.5</v>
      </c>
      <c r="J61" s="2"/>
      <c r="K61" s="2"/>
    </row>
    <row r="62" spans="1:11">
      <c r="A62" s="63" t="s">
        <v>45</v>
      </c>
      <c r="B62" s="102" t="s">
        <v>42</v>
      </c>
      <c r="C62" s="65">
        <v>2745.3855871900005</v>
      </c>
      <c r="D62" s="65">
        <v>2470.1695099799999</v>
      </c>
      <c r="E62" s="65">
        <v>2393.6230065600002</v>
      </c>
      <c r="F62" s="65">
        <v>3023.7254387600001</v>
      </c>
      <c r="G62" s="65">
        <v>3578.7059357000003</v>
      </c>
      <c r="H62" s="65">
        <v>4587.7070000000003</v>
      </c>
      <c r="I62" s="66">
        <v>4351.8999999999996</v>
      </c>
      <c r="J62" s="2"/>
      <c r="K62" s="2"/>
    </row>
    <row r="63" spans="1:11">
      <c r="A63" s="63" t="s">
        <v>46</v>
      </c>
      <c r="B63" s="102" t="s">
        <v>42</v>
      </c>
      <c r="C63" s="65">
        <v>1405.6698000000001</v>
      </c>
      <c r="D63" s="65">
        <v>1244.662</v>
      </c>
      <c r="E63" s="65">
        <v>735.58699999999999</v>
      </c>
      <c r="F63" s="65">
        <v>808.85299999999995</v>
      </c>
      <c r="G63" s="65">
        <v>1312.5840000000001</v>
      </c>
      <c r="H63" s="65">
        <v>986.27</v>
      </c>
      <c r="I63" s="66">
        <v>4221.8999999999996</v>
      </c>
      <c r="J63" s="2"/>
      <c r="K63" s="2"/>
    </row>
    <row r="64" spans="1:11">
      <c r="A64" s="62" t="s">
        <v>47</v>
      </c>
      <c r="B64" s="102" t="s">
        <v>42</v>
      </c>
      <c r="C64" s="65">
        <v>348.45686011000004</v>
      </c>
      <c r="D64" s="65">
        <v>245.48728291999998</v>
      </c>
      <c r="E64" s="65">
        <v>311.90328258</v>
      </c>
      <c r="F64" s="65">
        <v>139.49131517000001</v>
      </c>
      <c r="G64" s="65">
        <v>149.49832248999999</v>
      </c>
      <c r="H64" s="65">
        <v>156.34299999999999</v>
      </c>
      <c r="I64" s="66">
        <v>163.30000000000001</v>
      </c>
      <c r="J64" s="2"/>
      <c r="K64" s="2"/>
    </row>
    <row r="65" spans="1:11">
      <c r="A65" s="63" t="s">
        <v>164</v>
      </c>
      <c r="B65" s="102" t="s">
        <v>42</v>
      </c>
      <c r="C65" s="65">
        <v>3.0499999999999999E-2</v>
      </c>
      <c r="D65" s="65">
        <v>0.44</v>
      </c>
      <c r="E65" s="65">
        <v>0.29199999999999998</v>
      </c>
      <c r="F65" s="65">
        <v>0.19500000000000001</v>
      </c>
      <c r="G65" s="65">
        <v>0.46</v>
      </c>
      <c r="H65" s="65">
        <v>0.63300000000000001</v>
      </c>
      <c r="I65" s="126" t="s">
        <v>163</v>
      </c>
      <c r="J65" s="2"/>
      <c r="K65" s="2"/>
    </row>
    <row r="66" spans="1:11">
      <c r="A66" s="64" t="s">
        <v>48</v>
      </c>
      <c r="B66" s="96" t="s">
        <v>42</v>
      </c>
      <c r="C66" s="67" t="s">
        <v>37</v>
      </c>
      <c r="D66" s="67" t="s">
        <v>37</v>
      </c>
      <c r="E66" s="67" t="s">
        <v>37</v>
      </c>
      <c r="F66" s="67">
        <v>52.191000000000003</v>
      </c>
      <c r="G66" s="67">
        <v>48.368000000000002</v>
      </c>
      <c r="H66" s="67">
        <v>2479.0767400000004</v>
      </c>
      <c r="I66" s="68">
        <v>317.5</v>
      </c>
    </row>
    <row r="68" spans="1:11">
      <c r="A68" s="42" t="s">
        <v>49</v>
      </c>
      <c r="B68" s="43" t="s">
        <v>28</v>
      </c>
      <c r="C68" s="44">
        <v>2013</v>
      </c>
      <c r="D68" s="44">
        <v>2014</v>
      </c>
      <c r="E68" s="44">
        <v>2015</v>
      </c>
      <c r="F68" s="44">
        <v>2016</v>
      </c>
      <c r="G68" s="44">
        <v>2017</v>
      </c>
      <c r="H68" s="44">
        <v>2018</v>
      </c>
      <c r="I68" s="44">
        <v>2019</v>
      </c>
      <c r="J68" s="2"/>
      <c r="K68" s="2"/>
    </row>
    <row r="69" spans="1:11">
      <c r="A69" s="27" t="s">
        <v>50</v>
      </c>
      <c r="B69" s="53" t="s">
        <v>61</v>
      </c>
      <c r="C69" s="46">
        <v>4372.5321619999995</v>
      </c>
      <c r="D69" s="46">
        <v>4518.1393589999998</v>
      </c>
      <c r="E69" s="46">
        <v>5080.8265190000002</v>
      </c>
      <c r="F69" s="46">
        <v>5591.5917499999996</v>
      </c>
      <c r="G69" s="46">
        <v>6251.5823550000005</v>
      </c>
      <c r="H69" s="46">
        <v>6536.0211339999996</v>
      </c>
      <c r="I69" s="48">
        <v>6899.5893500000002</v>
      </c>
    </row>
    <row r="70" spans="1:11">
      <c r="A70" s="27" t="s">
        <v>51</v>
      </c>
      <c r="B70" s="120" t="s">
        <v>61</v>
      </c>
      <c r="C70" s="46">
        <v>247.24600000000001</v>
      </c>
      <c r="D70" s="46">
        <v>252.08600000000001</v>
      </c>
      <c r="E70" s="46">
        <v>272.19780000000003</v>
      </c>
      <c r="F70" s="46">
        <v>338.63309100000004</v>
      </c>
      <c r="G70" s="46">
        <v>354.20138000000003</v>
      </c>
      <c r="H70" s="46">
        <v>356.11993999999993</v>
      </c>
      <c r="I70" s="48">
        <v>367.70609999999994</v>
      </c>
    </row>
    <row r="71" spans="1:11">
      <c r="A71" s="27" t="s">
        <v>52</v>
      </c>
      <c r="B71" s="120" t="s">
        <v>61</v>
      </c>
      <c r="C71" s="46">
        <v>1048.1130000000001</v>
      </c>
      <c r="D71" s="46">
        <v>1180.258</v>
      </c>
      <c r="E71" s="46">
        <v>1111.586</v>
      </c>
      <c r="F71" s="46">
        <v>1198.6479999999999</v>
      </c>
      <c r="G71" s="46">
        <v>1454.866</v>
      </c>
      <c r="H71" s="46">
        <v>1865.9880000000001</v>
      </c>
      <c r="I71" s="48">
        <v>1930.085</v>
      </c>
    </row>
    <row r="72" spans="1:11">
      <c r="A72" s="27" t="s">
        <v>53</v>
      </c>
      <c r="B72" s="120" t="s">
        <v>61</v>
      </c>
      <c r="C72" s="46">
        <v>323.89350000000002</v>
      </c>
      <c r="D72" s="46">
        <v>326.86192999999992</v>
      </c>
      <c r="E72" s="46">
        <v>367.82274000000001</v>
      </c>
      <c r="F72" s="46">
        <v>368.4606</v>
      </c>
      <c r="G72" s="46">
        <v>400.65863000000002</v>
      </c>
      <c r="H72" s="46">
        <v>429.34920000000005</v>
      </c>
      <c r="I72" s="48">
        <v>457.27226999999999</v>
      </c>
    </row>
    <row r="73" spans="1:11">
      <c r="A73" s="27" t="s">
        <v>54</v>
      </c>
      <c r="B73" s="120" t="s">
        <v>61</v>
      </c>
      <c r="C73" s="46">
        <v>406.49074999999999</v>
      </c>
      <c r="D73" s="46">
        <v>411.90854999999999</v>
      </c>
      <c r="E73" s="46">
        <v>455.32614999999998</v>
      </c>
      <c r="F73" s="46">
        <v>458.86559999999997</v>
      </c>
      <c r="G73" s="46">
        <v>496.43744999999996</v>
      </c>
      <c r="H73" s="46">
        <v>532.61374999999998</v>
      </c>
      <c r="I73" s="48">
        <v>566.41985</v>
      </c>
    </row>
    <row r="74" spans="1:11">
      <c r="A74" s="27" t="s">
        <v>55</v>
      </c>
      <c r="B74" s="120" t="s">
        <v>61</v>
      </c>
      <c r="C74" s="46">
        <v>903.10739999999987</v>
      </c>
      <c r="D74" s="46">
        <v>965.92969999999991</v>
      </c>
      <c r="E74" s="46">
        <v>978.12216999999987</v>
      </c>
      <c r="F74" s="46">
        <v>1036.1190100000001</v>
      </c>
      <c r="G74" s="46">
        <v>1238.7735799999998</v>
      </c>
      <c r="H74" s="46">
        <v>1589.63777</v>
      </c>
      <c r="I74" s="48">
        <v>1684.1218600000002</v>
      </c>
    </row>
    <row r="75" spans="1:11">
      <c r="A75" s="27" t="s">
        <v>56</v>
      </c>
      <c r="B75" s="120" t="s">
        <v>61</v>
      </c>
      <c r="C75" s="46">
        <v>4338.8249210000004</v>
      </c>
      <c r="D75" s="46">
        <v>4462.0870000000004</v>
      </c>
      <c r="E75" s="46">
        <v>4712.1419999999998</v>
      </c>
      <c r="F75" s="46">
        <v>4926.1260000000002</v>
      </c>
      <c r="G75" s="46">
        <v>5437.8290900000002</v>
      </c>
      <c r="H75" s="46">
        <v>5731.6799927500006</v>
      </c>
      <c r="I75" s="48">
        <v>6123.0059099999999</v>
      </c>
    </row>
    <row r="76" spans="1:11">
      <c r="A76" s="27" t="s">
        <v>57</v>
      </c>
      <c r="B76" s="120" t="s">
        <v>61</v>
      </c>
      <c r="C76" s="46">
        <v>1765.0146000000002</v>
      </c>
      <c r="D76" s="46">
        <v>1933.8893</v>
      </c>
      <c r="E76" s="46">
        <v>2114.2547713556883</v>
      </c>
      <c r="F76" s="46">
        <v>2259.5249461099997</v>
      </c>
      <c r="G76" s="46">
        <v>2469.1977529999999</v>
      </c>
      <c r="H76" s="46">
        <v>2546.2440999999999</v>
      </c>
      <c r="I76" s="48">
        <v>2684.0147000000002</v>
      </c>
    </row>
    <row r="77" spans="1:11">
      <c r="A77" s="27" t="s">
        <v>58</v>
      </c>
      <c r="B77" s="120" t="s">
        <v>61</v>
      </c>
      <c r="C77" s="46">
        <v>27.108000000000001</v>
      </c>
      <c r="D77" s="46">
        <v>27.385999999999999</v>
      </c>
      <c r="E77" s="46">
        <v>36.082900000000002</v>
      </c>
      <c r="F77" s="46">
        <v>46.024999999999999</v>
      </c>
      <c r="G77" s="46">
        <v>47.000500000000002</v>
      </c>
      <c r="H77" s="46">
        <v>48.287999999999997</v>
      </c>
      <c r="I77" s="48">
        <v>56.695999999999998</v>
      </c>
    </row>
    <row r="78" spans="1:11">
      <c r="A78" s="27" t="s">
        <v>59</v>
      </c>
      <c r="B78" s="120" t="s">
        <v>61</v>
      </c>
      <c r="C78" s="46">
        <v>8658.5849999999991</v>
      </c>
      <c r="D78" s="46">
        <v>8407.5130000000008</v>
      </c>
      <c r="E78" s="46">
        <v>8769.4002500000006</v>
      </c>
      <c r="F78" s="46">
        <v>9441.1220900000008</v>
      </c>
      <c r="G78" s="46">
        <v>10493.290300000001</v>
      </c>
      <c r="H78" s="46">
        <v>10994.01994</v>
      </c>
      <c r="I78" s="48">
        <v>11632.03775</v>
      </c>
    </row>
    <row r="79" spans="1:11">
      <c r="A79" s="27" t="s">
        <v>60</v>
      </c>
      <c r="B79" s="53" t="s">
        <v>61</v>
      </c>
      <c r="C79" s="46">
        <v>123.178127</v>
      </c>
      <c r="D79" s="46">
        <v>129.18092999999999</v>
      </c>
      <c r="E79" s="46">
        <v>123.49</v>
      </c>
      <c r="F79" s="46">
        <v>92.906999999999996</v>
      </c>
      <c r="G79" s="46">
        <v>72.912000000000006</v>
      </c>
      <c r="H79" s="46">
        <v>104.79389999999999</v>
      </c>
      <c r="I79" s="48">
        <v>98.919629999999998</v>
      </c>
    </row>
    <row r="80" spans="1:11">
      <c r="A80" s="50" t="s">
        <v>62</v>
      </c>
      <c r="B80" s="54" t="s">
        <v>61</v>
      </c>
      <c r="C80" s="51">
        <v>22214.093459999996</v>
      </c>
      <c r="D80" s="51">
        <v>22615.239769000003</v>
      </c>
      <c r="E80" s="51">
        <v>24021.251300355692</v>
      </c>
      <c r="F80" s="51">
        <v>25758.023087109999</v>
      </c>
      <c r="G80" s="51">
        <v>28716.749037999998</v>
      </c>
      <c r="H80" s="51">
        <v>30734.755726749998</v>
      </c>
      <c r="I80" s="52">
        <f>SUM(I69:I79)</f>
        <v>32499.868419999999</v>
      </c>
    </row>
    <row r="81" spans="1:11">
      <c r="A81" s="27"/>
      <c r="B81" s="55"/>
      <c r="C81" s="47"/>
      <c r="D81" s="47"/>
      <c r="E81" s="47"/>
      <c r="F81" s="47"/>
      <c r="G81" s="47"/>
      <c r="H81" s="47"/>
      <c r="I81" s="49"/>
    </row>
    <row r="82" spans="1:11">
      <c r="A82" s="27" t="s">
        <v>21</v>
      </c>
      <c r="B82" s="53" t="s">
        <v>61</v>
      </c>
      <c r="C82" s="46">
        <v>8658.5849999999991</v>
      </c>
      <c r="D82" s="46">
        <v>8407.5130000000008</v>
      </c>
      <c r="E82" s="46">
        <v>8769.4002500000006</v>
      </c>
      <c r="F82" s="46">
        <v>9441.1220900000008</v>
      </c>
      <c r="G82" s="46">
        <v>10493.290300000001</v>
      </c>
      <c r="H82" s="46">
        <v>10994.01994</v>
      </c>
      <c r="I82" s="48">
        <v>11632.03775</v>
      </c>
    </row>
    <row r="83" spans="1:11">
      <c r="A83" s="27" t="s">
        <v>22</v>
      </c>
      <c r="B83" s="53" t="s">
        <v>61</v>
      </c>
      <c r="C83" s="46">
        <v>4126.6875</v>
      </c>
      <c r="D83" s="46">
        <v>4297.3230000000003</v>
      </c>
      <c r="E83" s="46">
        <v>4491.1915500000005</v>
      </c>
      <c r="F83" s="46">
        <v>4925.7781409999998</v>
      </c>
      <c r="G83" s="46">
        <v>5348.55303</v>
      </c>
      <c r="H83" s="46">
        <v>5553.99719</v>
      </c>
      <c r="I83" s="48">
        <v>5950.5210999999999</v>
      </c>
    </row>
    <row r="84" spans="1:11">
      <c r="A84" s="27" t="s">
        <v>23</v>
      </c>
      <c r="B84" s="53" t="s">
        <v>61</v>
      </c>
      <c r="C84" s="46">
        <v>403.33886000000001</v>
      </c>
      <c r="D84" s="46">
        <v>444.28089999999997</v>
      </c>
      <c r="E84" s="46">
        <v>533.00647200000003</v>
      </c>
      <c r="F84" s="46">
        <v>505.2401000000001</v>
      </c>
      <c r="G84" s="46">
        <v>563.13413299999991</v>
      </c>
      <c r="H84" s="46">
        <v>652.32882400000005</v>
      </c>
      <c r="I84" s="48">
        <v>614.71233000000007</v>
      </c>
    </row>
    <row r="85" spans="1:11">
      <c r="A85" s="27" t="s">
        <v>24</v>
      </c>
      <c r="B85" s="53" t="s">
        <v>61</v>
      </c>
      <c r="C85" s="46">
        <v>9025.4820999999993</v>
      </c>
      <c r="D85" s="46">
        <v>9466.1228690000007</v>
      </c>
      <c r="E85" s="46">
        <v>10227.653028355688</v>
      </c>
      <c r="F85" s="46">
        <v>10885.882756109999</v>
      </c>
      <c r="G85" s="46">
        <v>12311.771574999999</v>
      </c>
      <c r="H85" s="46">
        <v>13534.409772749999</v>
      </c>
      <c r="I85" s="48">
        <v>14302.597240000001</v>
      </c>
    </row>
    <row r="86" spans="1:11">
      <c r="A86" s="50" t="s">
        <v>62</v>
      </c>
      <c r="B86" s="54" t="s">
        <v>61</v>
      </c>
      <c r="C86" s="51">
        <v>22214.09346</v>
      </c>
      <c r="D86" s="51">
        <v>22615.239769</v>
      </c>
      <c r="E86" s="51">
        <v>24021.251300355689</v>
      </c>
      <c r="F86" s="51">
        <v>25758.023087110003</v>
      </c>
      <c r="G86" s="51">
        <v>28716.749038000002</v>
      </c>
      <c r="H86" s="51">
        <v>30734.755726750001</v>
      </c>
      <c r="I86" s="52">
        <f>SUM(I82:I85)</f>
        <v>32499.868419999999</v>
      </c>
    </row>
    <row r="88" spans="1:11">
      <c r="A88" s="42" t="s">
        <v>63</v>
      </c>
      <c r="B88" s="43" t="s">
        <v>28</v>
      </c>
      <c r="C88" s="44">
        <v>2013</v>
      </c>
      <c r="D88" s="44">
        <v>2014</v>
      </c>
      <c r="E88" s="44">
        <v>2015</v>
      </c>
      <c r="F88" s="44">
        <v>2016</v>
      </c>
      <c r="G88" s="44">
        <v>2017</v>
      </c>
      <c r="H88" s="44">
        <v>2018</v>
      </c>
      <c r="I88" s="44">
        <v>2019</v>
      </c>
      <c r="J88" s="2"/>
      <c r="K88" s="2"/>
    </row>
    <row r="89" spans="1:11">
      <c r="A89" s="28" t="s">
        <v>64</v>
      </c>
      <c r="B89" s="56" t="s">
        <v>5</v>
      </c>
      <c r="C89" s="57">
        <v>3283</v>
      </c>
      <c r="D89" s="57">
        <v>3205</v>
      </c>
      <c r="E89" s="57">
        <v>3113</v>
      </c>
      <c r="F89" s="57">
        <v>2801</v>
      </c>
      <c r="G89" s="57">
        <v>3108</v>
      </c>
      <c r="H89" s="57">
        <v>3723</v>
      </c>
      <c r="I89" s="58">
        <v>3833</v>
      </c>
    </row>
    <row r="91" spans="1:11">
      <c r="A91" t="s">
        <v>170</v>
      </c>
    </row>
  </sheetData>
  <pageMargins left="0.25" right="0.25" top="0.75" bottom="0.75" header="0.3" footer="0.3"/>
  <pageSetup paperSize="9" scale="59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3:J82"/>
  <sheetViews>
    <sheetView showGridLines="0" topLeftCell="A61" zoomScaleNormal="100" zoomScaleSheetLayoutView="85" workbookViewId="0">
      <selection activeCell="E83" sqref="E83"/>
    </sheetView>
  </sheetViews>
  <sheetFormatPr defaultRowHeight="14.4"/>
  <cols>
    <col min="1" max="1" width="47.88671875" bestFit="1" customWidth="1"/>
    <col min="2" max="2" width="17.33203125" customWidth="1"/>
    <col min="3" max="3" width="12.88671875" bestFit="1" customWidth="1"/>
    <col min="4" max="4" width="14.33203125" customWidth="1"/>
    <col min="5" max="5" width="12.88671875" bestFit="1" customWidth="1"/>
    <col min="6" max="6" width="14.33203125" customWidth="1"/>
    <col min="7" max="7" width="12.88671875" bestFit="1" customWidth="1"/>
    <col min="8" max="9" width="14.44140625" customWidth="1"/>
    <col min="10" max="10" width="14.6640625" customWidth="1"/>
  </cols>
  <sheetData>
    <row r="3" spans="1:10" ht="15.6">
      <c r="A3" s="70" t="s">
        <v>66</v>
      </c>
      <c r="B3" s="24"/>
      <c r="C3" s="24"/>
      <c r="D3" s="24"/>
      <c r="E3" s="24"/>
      <c r="F3" s="24"/>
      <c r="G3" s="24"/>
      <c r="H3" s="24"/>
      <c r="I3" s="24"/>
      <c r="J3" s="3"/>
    </row>
    <row r="6" spans="1:10">
      <c r="A6" s="25" t="s">
        <v>70</v>
      </c>
      <c r="B6" s="109" t="s">
        <v>28</v>
      </c>
      <c r="C6" s="104">
        <v>2013</v>
      </c>
      <c r="D6" s="104">
        <v>2014</v>
      </c>
      <c r="E6" s="104">
        <v>2015</v>
      </c>
      <c r="F6" s="104">
        <v>2016</v>
      </c>
      <c r="G6" s="104">
        <v>2017</v>
      </c>
      <c r="H6" s="104">
        <v>2018</v>
      </c>
      <c r="I6" s="109">
        <v>2019</v>
      </c>
    </row>
    <row r="7" spans="1:10">
      <c r="A7" s="83" t="s">
        <v>20</v>
      </c>
      <c r="B7" s="111" t="s">
        <v>67</v>
      </c>
      <c r="C7" s="117" t="s">
        <v>37</v>
      </c>
      <c r="D7" s="116" t="s">
        <v>37</v>
      </c>
      <c r="E7" s="116">
        <f>3267.522286/E80</f>
        <v>0.13602631458052383</v>
      </c>
      <c r="F7" s="116">
        <f>3240.039583/F80</f>
        <v>0.12578758750400382</v>
      </c>
      <c r="G7" s="116">
        <f>3595.5301471/G80</f>
        <v>0.12520672665078292</v>
      </c>
      <c r="H7" s="116">
        <f>3673.546524/H80</f>
        <v>0.11952418157020613</v>
      </c>
      <c r="I7" s="127">
        <f>3734.68/I74</f>
        <v>0.11491369601058835</v>
      </c>
    </row>
    <row r="8" spans="1:10">
      <c r="A8" s="79" t="s">
        <v>21</v>
      </c>
      <c r="B8" s="111" t="s">
        <v>67</v>
      </c>
      <c r="C8" s="117" t="s">
        <v>37</v>
      </c>
      <c r="D8" s="116" t="s">
        <v>37</v>
      </c>
      <c r="E8" s="116">
        <f>1592.29149/E76</f>
        <v>0.18157359050865537</v>
      </c>
      <c r="F8" s="116">
        <f>1487.177836/F76</f>
        <v>0.15752130115711702</v>
      </c>
      <c r="G8" s="116">
        <f>1675.4897791/G76</f>
        <v>0.15967248891417785</v>
      </c>
      <c r="H8" s="116">
        <f>1648.633413/H76</f>
        <v>0.14995728787080953</v>
      </c>
      <c r="I8" s="127">
        <f>1651.74/I76</f>
        <v>0.14199919528287294</v>
      </c>
    </row>
    <row r="9" spans="1:10">
      <c r="A9" s="79" t="s">
        <v>22</v>
      </c>
      <c r="B9" s="111" t="s">
        <v>67</v>
      </c>
      <c r="C9" s="117" t="s">
        <v>37</v>
      </c>
      <c r="D9" s="116" t="s">
        <v>37</v>
      </c>
      <c r="E9" s="116">
        <f>418.848841/E77</f>
        <v>9.3260070593070107E-2</v>
      </c>
      <c r="F9" s="116">
        <f>434.87492/F77</f>
        <v>8.8285527190169896E-2</v>
      </c>
      <c r="G9" s="116">
        <f>456.447397/G77</f>
        <v>8.534035176239059E-2</v>
      </c>
      <c r="H9" s="116">
        <f>464.436741/H77</f>
        <v>8.3622069855602499E-2</v>
      </c>
      <c r="I9" s="127">
        <f>488.8/I77</f>
        <v>8.2144066340677294E-2</v>
      </c>
    </row>
    <row r="10" spans="1:10">
      <c r="A10" s="79" t="s">
        <v>23</v>
      </c>
      <c r="B10" s="111" t="s">
        <v>67</v>
      </c>
      <c r="C10" s="117" t="s">
        <v>37</v>
      </c>
      <c r="D10" s="116" t="s">
        <v>37</v>
      </c>
      <c r="E10" s="116">
        <f>152.263355/E78</f>
        <v>0.28566886707522005</v>
      </c>
      <c r="F10" s="116">
        <f>154.084639/F78</f>
        <v>0.30497309892860835</v>
      </c>
      <c r="G10" s="116">
        <f>157.839453/G78</f>
        <v>0.28028749058263891</v>
      </c>
      <c r="H10" s="116">
        <f>140.842635/H78</f>
        <v>0.21590742248115039</v>
      </c>
      <c r="I10" s="127">
        <f>119.61/I78</f>
        <v>0.1945788203077039</v>
      </c>
    </row>
    <row r="11" spans="1:10">
      <c r="A11" s="80" t="s">
        <v>24</v>
      </c>
      <c r="B11" s="112" t="s">
        <v>67</v>
      </c>
      <c r="C11" s="118" t="s">
        <v>37</v>
      </c>
      <c r="D11" s="119" t="s">
        <v>37</v>
      </c>
      <c r="E11" s="119">
        <f>1104.1186/E79</f>
        <v>0.10795424883293196</v>
      </c>
      <c r="F11" s="119">
        <f>1163.902188/F79</f>
        <v>0.10691849380306141</v>
      </c>
      <c r="G11" s="119">
        <f>1305.753518/G79</f>
        <v>0.10605732164909826</v>
      </c>
      <c r="H11" s="119">
        <f>1419.633735/H79</f>
        <v>0.10489070146658863</v>
      </c>
      <c r="I11" s="128">
        <f>1474.53/I79</f>
        <v>0.10309526131912528</v>
      </c>
    </row>
    <row r="12" spans="1:10">
      <c r="B12" s="113"/>
    </row>
    <row r="13" spans="1:10">
      <c r="A13" s="110" t="s">
        <v>69</v>
      </c>
      <c r="B13" s="109" t="s">
        <v>28</v>
      </c>
      <c r="C13" s="109">
        <v>2013</v>
      </c>
      <c r="D13" s="109">
        <v>2014</v>
      </c>
      <c r="E13" s="109">
        <v>2015</v>
      </c>
      <c r="F13" s="109">
        <v>2016</v>
      </c>
      <c r="G13" s="109">
        <v>2017</v>
      </c>
      <c r="H13" s="109">
        <v>2018</v>
      </c>
      <c r="I13" s="109">
        <v>2019</v>
      </c>
    </row>
    <row r="14" spans="1:10">
      <c r="A14" s="121" t="s">
        <v>20</v>
      </c>
      <c r="B14" s="111" t="s">
        <v>67</v>
      </c>
      <c r="C14" s="117" t="s">
        <v>37</v>
      </c>
      <c r="D14" s="116" t="s">
        <v>37</v>
      </c>
      <c r="E14" s="116">
        <f>2020.240458/E80</f>
        <v>8.4102215689741605E-2</v>
      </c>
      <c r="F14" s="116">
        <f>1968.373831/F80</f>
        <v>7.6417892178419017E-2</v>
      </c>
      <c r="G14" s="116">
        <f>2252.4105381/G80</f>
        <v>7.8435429272284737E-2</v>
      </c>
      <c r="H14" s="116">
        <f>2188.543552/H80</f>
        <v>7.1207449034488363E-2</v>
      </c>
      <c r="I14" s="127">
        <f>2234.57/I74</f>
        <v>6.8756278367726395E-2</v>
      </c>
    </row>
    <row r="15" spans="1:10">
      <c r="A15" s="79" t="s">
        <v>21</v>
      </c>
      <c r="B15" s="111" t="s">
        <v>67</v>
      </c>
      <c r="C15" s="117" t="s">
        <v>37</v>
      </c>
      <c r="D15" s="116" t="s">
        <v>37</v>
      </c>
      <c r="E15" s="116">
        <f>1592.29149/E76</f>
        <v>0.18157359050865537</v>
      </c>
      <c r="F15" s="116">
        <f>1487.177836/F76</f>
        <v>0.15752130115711702</v>
      </c>
      <c r="G15" s="116">
        <f>1675.4897791/G76</f>
        <v>0.15967248891417785</v>
      </c>
      <c r="H15" s="116">
        <f>1648.633413/H76</f>
        <v>0.14995728787080953</v>
      </c>
      <c r="I15" s="127">
        <f>1651.74/I76</f>
        <v>0.14199919528287294</v>
      </c>
    </row>
    <row r="16" spans="1:10">
      <c r="A16" s="79" t="s">
        <v>22</v>
      </c>
      <c r="B16" s="111" t="s">
        <v>67</v>
      </c>
      <c r="C16" s="117" t="s">
        <v>37</v>
      </c>
      <c r="D16" s="116" t="s">
        <v>37</v>
      </c>
      <c r="E16" s="116">
        <f>91.393013/E77</f>
        <v>2.0349391020741476E-2</v>
      </c>
      <c r="F16" s="116">
        <f>96.245168/F77</f>
        <v>1.9539078952601981E-2</v>
      </c>
      <c r="G16" s="116">
        <f>106.856788/G77</f>
        <v>1.9978634857061518E-2</v>
      </c>
      <c r="H16" s="116">
        <f>142.796769/H77</f>
        <v>2.5710630400949123E-2</v>
      </c>
      <c r="I16" s="127">
        <f>148.06/I77</f>
        <v>2.4881854464813176E-2</v>
      </c>
    </row>
    <row r="17" spans="1:9">
      <c r="A17" s="79" t="s">
        <v>23</v>
      </c>
      <c r="B17" s="111" t="s">
        <v>67</v>
      </c>
      <c r="C17" s="117" t="s">
        <v>37</v>
      </c>
      <c r="D17" s="116" t="s">
        <v>37</v>
      </c>
      <c r="E17" s="116">
        <f>152.263355/E78</f>
        <v>0.28566886707522005</v>
      </c>
      <c r="F17" s="116">
        <f>154.084639/F78</f>
        <v>0.30497309892860835</v>
      </c>
      <c r="G17" s="116">
        <f>157.839453/G78</f>
        <v>0.28028749058263891</v>
      </c>
      <c r="H17" s="116">
        <f>140.842635/H78</f>
        <v>0.21590742248115039</v>
      </c>
      <c r="I17" s="127">
        <f>119.61/I78</f>
        <v>0.1945788203077039</v>
      </c>
    </row>
    <row r="18" spans="1:9">
      <c r="A18" s="80" t="s">
        <v>24</v>
      </c>
      <c r="B18" s="112" t="s">
        <v>67</v>
      </c>
      <c r="C18" s="118" t="s">
        <v>37</v>
      </c>
      <c r="D18" s="119" t="s">
        <v>37</v>
      </c>
      <c r="E18" s="119">
        <f>184.2926/E79</f>
        <v>1.80190508505771E-2</v>
      </c>
      <c r="F18" s="119">
        <f>230.866188/F79</f>
        <v>2.1207851781282511E-2</v>
      </c>
      <c r="G18" s="119">
        <f>312.224518/G79</f>
        <v>2.535983681129984E-2</v>
      </c>
      <c r="H18" s="119">
        <f>256.270735/H79</f>
        <v>1.8934755139154432E-2</v>
      </c>
      <c r="I18" s="128">
        <f>315.16/I79</f>
        <v>2.2035158699609723E-2</v>
      </c>
    </row>
    <row r="19" spans="1:9">
      <c r="B19" s="113"/>
    </row>
    <row r="20" spans="1:9">
      <c r="A20" s="110" t="s">
        <v>68</v>
      </c>
      <c r="B20" s="109" t="s">
        <v>28</v>
      </c>
      <c r="C20" s="109">
        <v>2013</v>
      </c>
      <c r="D20" s="109">
        <v>2014</v>
      </c>
      <c r="E20" s="109">
        <v>2015</v>
      </c>
      <c r="F20" s="109">
        <v>2016</v>
      </c>
      <c r="G20" s="109">
        <v>2017</v>
      </c>
      <c r="H20" s="109">
        <v>2018</v>
      </c>
      <c r="I20" s="109">
        <v>2019</v>
      </c>
    </row>
    <row r="21" spans="1:9">
      <c r="A21" s="121" t="s">
        <v>20</v>
      </c>
      <c r="B21" s="111" t="s">
        <v>67</v>
      </c>
      <c r="C21" s="117" t="s">
        <v>37</v>
      </c>
      <c r="D21" s="116" t="s">
        <v>37</v>
      </c>
      <c r="E21" s="116">
        <f>1247.281828/E80</f>
        <v>5.1924098890782228E-2</v>
      </c>
      <c r="F21" s="116">
        <f>1271.665752/F80</f>
        <v>4.93696953255848E-2</v>
      </c>
      <c r="G21" s="116">
        <f>1343.119609/G80</f>
        <v>4.6771297378498194E-2</v>
      </c>
      <c r="H21" s="116">
        <f>1485.002972/H80</f>
        <v>4.8316732535717777E-2</v>
      </c>
      <c r="I21" s="127">
        <f>1500.1092/I80</f>
        <v>4.6157393027377681E-2</v>
      </c>
    </row>
    <row r="22" spans="1:9">
      <c r="A22" s="79" t="s">
        <v>21</v>
      </c>
      <c r="B22" s="111" t="s">
        <v>67</v>
      </c>
      <c r="C22" s="117" t="s">
        <v>37</v>
      </c>
      <c r="D22" s="116" t="s">
        <v>37</v>
      </c>
      <c r="E22" s="116">
        <v>0</v>
      </c>
      <c r="F22" s="116">
        <v>0</v>
      </c>
      <c r="G22" s="116">
        <v>0</v>
      </c>
      <c r="H22" s="116">
        <v>0</v>
      </c>
      <c r="I22" s="127">
        <v>0</v>
      </c>
    </row>
    <row r="23" spans="1:9">
      <c r="A23" s="79" t="s">
        <v>22</v>
      </c>
      <c r="B23" s="111" t="s">
        <v>67</v>
      </c>
      <c r="C23" s="117" t="s">
        <v>37</v>
      </c>
      <c r="D23" s="116" t="s">
        <v>37</v>
      </c>
      <c r="E23" s="116">
        <f>327.455828/E77</f>
        <v>7.2910679572328635E-2</v>
      </c>
      <c r="F23" s="116">
        <f>338.629752/F77</f>
        <v>6.8746448237567911E-2</v>
      </c>
      <c r="G23" s="116">
        <f>349.590609/G77</f>
        <v>6.5361716905329062E-2</v>
      </c>
      <c r="H23" s="116">
        <f>321.639972/H77</f>
        <v>5.7911439454653379E-2</v>
      </c>
      <c r="I23" s="127">
        <f>340.7442/I77</f>
        <v>5.7262917696401412E-2</v>
      </c>
    </row>
    <row r="24" spans="1:9">
      <c r="A24" s="79" t="s">
        <v>23</v>
      </c>
      <c r="B24" s="111" t="s">
        <v>67</v>
      </c>
      <c r="C24" s="117" t="s">
        <v>37</v>
      </c>
      <c r="D24" s="116" t="s">
        <v>37</v>
      </c>
      <c r="E24" s="116">
        <v>0</v>
      </c>
      <c r="F24" s="116">
        <v>0</v>
      </c>
      <c r="G24" s="116">
        <v>0</v>
      </c>
      <c r="H24" s="116">
        <v>0</v>
      </c>
      <c r="I24" s="127">
        <v>0</v>
      </c>
    </row>
    <row r="25" spans="1:9">
      <c r="A25" s="80" t="s">
        <v>24</v>
      </c>
      <c r="B25" s="112" t="s">
        <v>67</v>
      </c>
      <c r="C25" s="118" t="s">
        <v>37</v>
      </c>
      <c r="D25" s="119" t="s">
        <v>37</v>
      </c>
      <c r="E25" s="119">
        <f>919.826/E79</f>
        <v>8.9935197982354859E-2</v>
      </c>
      <c r="F25" s="119">
        <f>933.036/F79</f>
        <v>8.5710642021778902E-2</v>
      </c>
      <c r="G25" s="119">
        <f>993.529/G79</f>
        <v>8.0697484837798428E-2</v>
      </c>
      <c r="H25" s="119">
        <f>1163.363/H79</f>
        <v>8.595594632743421E-2</v>
      </c>
      <c r="I25" s="128">
        <f>1159.365/I79</f>
        <v>8.1059753032659679E-2</v>
      </c>
    </row>
    <row r="27" spans="1:9">
      <c r="A27" s="110" t="s">
        <v>71</v>
      </c>
      <c r="B27" s="109" t="s">
        <v>28</v>
      </c>
      <c r="C27" s="109">
        <v>2013</v>
      </c>
      <c r="D27" s="109">
        <v>2014</v>
      </c>
      <c r="E27" s="109">
        <v>2015</v>
      </c>
      <c r="F27" s="109">
        <v>2016</v>
      </c>
      <c r="G27" s="109">
        <v>2017</v>
      </c>
      <c r="H27" s="109">
        <v>2018</v>
      </c>
      <c r="I27" s="109">
        <v>2019</v>
      </c>
    </row>
    <row r="28" spans="1:9">
      <c r="A28" s="121" t="s">
        <v>20</v>
      </c>
      <c r="B28" s="111" t="s">
        <v>0</v>
      </c>
      <c r="C28" s="117" t="s">
        <v>37</v>
      </c>
      <c r="D28" s="116" t="s">
        <v>37</v>
      </c>
      <c r="E28" s="114">
        <v>0.38172098575856506</v>
      </c>
      <c r="F28" s="114">
        <v>0.39248463465453898</v>
      </c>
      <c r="G28" s="114">
        <v>0.37355259281675124</v>
      </c>
      <c r="H28" s="114">
        <v>0.40424232068334626</v>
      </c>
      <c r="I28" s="132">
        <v>0.40200000000000002</v>
      </c>
    </row>
    <row r="29" spans="1:9">
      <c r="A29" s="79" t="s">
        <v>21</v>
      </c>
      <c r="B29" s="111" t="s">
        <v>0</v>
      </c>
      <c r="C29" s="117" t="s">
        <v>37</v>
      </c>
      <c r="D29" s="116" t="s">
        <v>37</v>
      </c>
      <c r="E29" s="114">
        <v>0</v>
      </c>
      <c r="F29" s="114">
        <v>0</v>
      </c>
      <c r="G29" s="114">
        <v>0</v>
      </c>
      <c r="H29" s="114">
        <v>0</v>
      </c>
      <c r="I29" s="132">
        <v>0</v>
      </c>
    </row>
    <row r="30" spans="1:9">
      <c r="A30" s="79" t="s">
        <v>22</v>
      </c>
      <c r="B30" s="111" t="s">
        <v>0</v>
      </c>
      <c r="C30" s="117" t="s">
        <v>37</v>
      </c>
      <c r="D30" s="116" t="s">
        <v>37</v>
      </c>
      <c r="E30" s="114">
        <v>0.78179953230430455</v>
      </c>
      <c r="F30" s="114">
        <v>0.77868310271836327</v>
      </c>
      <c r="G30" s="114">
        <v>0.76589462728385327</v>
      </c>
      <c r="H30" s="114">
        <v>0.69253774218521613</v>
      </c>
      <c r="I30" s="132">
        <v>0.69699999999999995</v>
      </c>
    </row>
    <row r="31" spans="1:9">
      <c r="A31" s="79" t="s">
        <v>23</v>
      </c>
      <c r="B31" s="111" t="s">
        <v>0</v>
      </c>
      <c r="C31" s="117" t="s">
        <v>37</v>
      </c>
      <c r="D31" s="116" t="s">
        <v>37</v>
      </c>
      <c r="E31" s="114">
        <v>0</v>
      </c>
      <c r="F31" s="114">
        <v>0</v>
      </c>
      <c r="G31" s="114">
        <v>0</v>
      </c>
      <c r="H31" s="114">
        <v>0</v>
      </c>
      <c r="I31" s="132">
        <v>0</v>
      </c>
    </row>
    <row r="32" spans="1:9">
      <c r="A32" s="80" t="s">
        <v>24</v>
      </c>
      <c r="B32" s="112" t="s">
        <v>0</v>
      </c>
      <c r="C32" s="118" t="s">
        <v>37</v>
      </c>
      <c r="D32" s="119" t="s">
        <v>37</v>
      </c>
      <c r="E32" s="115">
        <v>0.83308622823671297</v>
      </c>
      <c r="F32" s="115">
        <v>0.80164468253409615</v>
      </c>
      <c r="G32" s="115">
        <v>0.7608855624771903</v>
      </c>
      <c r="H32" s="115">
        <v>0.81948108960653854</v>
      </c>
      <c r="I32" s="133">
        <v>0.78600000000000003</v>
      </c>
    </row>
    <row r="34" spans="1:10">
      <c r="A34" s="110" t="s">
        <v>72</v>
      </c>
      <c r="B34" s="109" t="s">
        <v>28</v>
      </c>
      <c r="C34" s="109">
        <v>2013</v>
      </c>
      <c r="D34" s="109">
        <v>2014</v>
      </c>
      <c r="E34" s="109">
        <v>2015</v>
      </c>
      <c r="F34" s="109">
        <v>2016</v>
      </c>
      <c r="G34" s="109">
        <v>2017</v>
      </c>
      <c r="H34" s="109">
        <v>2018</v>
      </c>
      <c r="I34" s="109" t="s">
        <v>165</v>
      </c>
    </row>
    <row r="35" spans="1:10">
      <c r="A35" s="121" t="s">
        <v>20</v>
      </c>
      <c r="B35" s="111" t="s">
        <v>166</v>
      </c>
      <c r="C35" s="117" t="s">
        <v>37</v>
      </c>
      <c r="D35" s="116" t="s">
        <v>37</v>
      </c>
      <c r="E35" s="116">
        <f>8458.694596/E80</f>
        <v>0.35213380394862065</v>
      </c>
      <c r="F35" s="116">
        <f>8831.02807/F80</f>
        <v>0.34284572384047907</v>
      </c>
      <c r="G35" s="116">
        <f>9843.7656157/G80</f>
        <v>0.34278830109473896</v>
      </c>
      <c r="H35" s="116">
        <f>10967.71179005/H80</f>
        <v>0.35685046230916517</v>
      </c>
      <c r="I35" s="127">
        <f>11330.87/I80</f>
        <v>0.34864356536985641</v>
      </c>
    </row>
    <row r="36" spans="1:10">
      <c r="A36" s="79" t="s">
        <v>21</v>
      </c>
      <c r="B36" s="111" t="s">
        <v>166</v>
      </c>
      <c r="C36" s="117" t="s">
        <v>37</v>
      </c>
      <c r="D36" s="116" t="s">
        <v>37</v>
      </c>
      <c r="E36" s="116">
        <f>666.88267/E76</f>
        <v>7.6046554038858002E-2</v>
      </c>
      <c r="F36" s="116">
        <f>585.749703/F76</f>
        <v>6.2042381977077038E-2</v>
      </c>
      <c r="G36" s="116">
        <f>675.7905777/G76</f>
        <v>6.4402161607975336E-2</v>
      </c>
      <c r="H36" s="116">
        <f>719.62327/H76</f>
        <v>6.5455881827334583E-2</v>
      </c>
      <c r="I36" s="127">
        <f>808.09/I76</f>
        <v>6.9471060648853208E-2</v>
      </c>
    </row>
    <row r="37" spans="1:10">
      <c r="A37" s="79" t="s">
        <v>22</v>
      </c>
      <c r="B37" s="111" t="s">
        <v>166</v>
      </c>
      <c r="C37" s="117" t="s">
        <v>37</v>
      </c>
      <c r="D37" s="116" t="s">
        <v>37</v>
      </c>
      <c r="E37" s="116">
        <f>1996.431/E77</f>
        <v>0.444521454445647</v>
      </c>
      <c r="F37" s="116">
        <f>2168.657/F77</f>
        <v>0.44026688533717301</v>
      </c>
      <c r="G37" s="116">
        <f>2288.092/G77</f>
        <v>0.42779645021113311</v>
      </c>
      <c r="H37" s="116">
        <f>2308.41100005/H77</f>
        <v>0.41563056679364291</v>
      </c>
      <c r="I37" s="127">
        <f>2442.83/I77</f>
        <v>0.4105237102679965</v>
      </c>
    </row>
    <row r="38" spans="1:10">
      <c r="A38" s="79" t="s">
        <v>23</v>
      </c>
      <c r="B38" s="111" t="s">
        <v>166</v>
      </c>
      <c r="C38" s="117" t="s">
        <v>37</v>
      </c>
      <c r="D38" s="116" t="s">
        <v>37</v>
      </c>
      <c r="E38" s="116">
        <f>145.19448/E78</f>
        <v>0.27240659846997128</v>
      </c>
      <c r="F38" s="116">
        <f>148.19243/F78</f>
        <v>0.29331090307360791</v>
      </c>
      <c r="G38" s="116">
        <f>163.30028/G78</f>
        <v>0.28998469535143595</v>
      </c>
      <c r="H38" s="116">
        <f>148.15572/H78</f>
        <v>0.2271181565939818</v>
      </c>
      <c r="I38" s="127">
        <f>139.87/I78</f>
        <v>0.22753732628073361</v>
      </c>
    </row>
    <row r="39" spans="1:10">
      <c r="A39" s="80" t="s">
        <v>24</v>
      </c>
      <c r="B39" s="112" t="s">
        <v>166</v>
      </c>
      <c r="C39" s="118" t="s">
        <v>37</v>
      </c>
      <c r="D39" s="119" t="s">
        <v>37</v>
      </c>
      <c r="E39" s="119">
        <f>5650.186446/E79</f>
        <v>0.55244213216220017</v>
      </c>
      <c r="F39" s="119">
        <f>5928.428937/F79</f>
        <v>0.54459790444394662</v>
      </c>
      <c r="G39" s="119">
        <f>6716.582758/G79</f>
        <v>0.54554153454556764</v>
      </c>
      <c r="H39" s="119">
        <f>7791.5218/H79</f>
        <v>0.57568242212433574</v>
      </c>
      <c r="I39" s="128">
        <f>7940.08/I79</f>
        <v>0.5551495205216308</v>
      </c>
    </row>
    <row r="41" spans="1:10">
      <c r="A41" s="25" t="s">
        <v>73</v>
      </c>
      <c r="B41" s="109" t="s">
        <v>28</v>
      </c>
      <c r="C41" s="109">
        <v>2013</v>
      </c>
      <c r="D41" s="109">
        <v>2014</v>
      </c>
      <c r="E41" s="109">
        <v>2015</v>
      </c>
      <c r="F41" s="109">
        <v>2016</v>
      </c>
      <c r="G41" s="109">
        <v>2017</v>
      </c>
      <c r="H41" s="109">
        <v>2018</v>
      </c>
      <c r="I41" s="109">
        <v>2019</v>
      </c>
      <c r="J41" s="107"/>
    </row>
    <row r="42" spans="1:10">
      <c r="A42" s="121" t="s">
        <v>20</v>
      </c>
      <c r="B42" s="30" t="s">
        <v>32</v>
      </c>
      <c r="C42" s="117" t="s">
        <v>37</v>
      </c>
      <c r="D42" s="116" t="s">
        <v>37</v>
      </c>
      <c r="E42" s="107">
        <v>185.36475399999998</v>
      </c>
      <c r="F42" s="107">
        <v>189.12400999999997</v>
      </c>
      <c r="G42" s="107">
        <v>205.24519800000002</v>
      </c>
      <c r="H42" s="107">
        <v>222.18333900000002</v>
      </c>
      <c r="I42" s="134">
        <v>238.86799999999999</v>
      </c>
      <c r="J42" s="107"/>
    </row>
    <row r="43" spans="1:10">
      <c r="A43" s="79" t="s">
        <v>21</v>
      </c>
      <c r="B43" s="30" t="s">
        <v>32</v>
      </c>
      <c r="C43" s="117" t="s">
        <v>37</v>
      </c>
      <c r="D43" s="116" t="s">
        <v>37</v>
      </c>
      <c r="E43" s="107">
        <v>169.69708199999999</v>
      </c>
      <c r="F43" s="107">
        <v>172.43362099999999</v>
      </c>
      <c r="G43" s="107">
        <v>187.239822</v>
      </c>
      <c r="H43" s="107">
        <v>202.82625400000001</v>
      </c>
      <c r="I43" s="134">
        <v>219.52</v>
      </c>
      <c r="J43" s="107"/>
    </row>
    <row r="44" spans="1:10">
      <c r="A44" s="79" t="s">
        <v>22</v>
      </c>
      <c r="B44" s="30" t="s">
        <v>32</v>
      </c>
      <c r="C44" s="117" t="s">
        <v>37</v>
      </c>
      <c r="D44" s="116" t="s">
        <v>37</v>
      </c>
      <c r="E44" s="107">
        <v>8.2059999999999995</v>
      </c>
      <c r="F44" s="107">
        <v>8.7720000000000002</v>
      </c>
      <c r="G44" s="107">
        <v>9.3889999999999993</v>
      </c>
      <c r="H44" s="107">
        <v>9.3643610000000006</v>
      </c>
      <c r="I44" s="134">
        <v>9.52</v>
      </c>
      <c r="J44" s="107"/>
    </row>
    <row r="45" spans="1:10">
      <c r="A45" s="79" t="s">
        <v>23</v>
      </c>
      <c r="B45" s="30" t="s">
        <v>32</v>
      </c>
      <c r="C45" s="117" t="s">
        <v>37</v>
      </c>
      <c r="D45" s="116" t="s">
        <v>37</v>
      </c>
      <c r="E45" s="107">
        <v>1.516518</v>
      </c>
      <c r="F45" s="107">
        <v>1.8021229999999999</v>
      </c>
      <c r="G45" s="107">
        <v>2.1766019999999999</v>
      </c>
      <c r="H45" s="107">
        <v>1.8329759999999999</v>
      </c>
      <c r="I45" s="134">
        <v>1.07</v>
      </c>
      <c r="J45" s="107"/>
    </row>
    <row r="46" spans="1:10">
      <c r="A46" s="80" t="s">
        <v>24</v>
      </c>
      <c r="B46" s="31" t="s">
        <v>32</v>
      </c>
      <c r="C46" s="118" t="s">
        <v>37</v>
      </c>
      <c r="D46" s="119" t="s">
        <v>37</v>
      </c>
      <c r="E46" s="67">
        <v>5.9451540000000005</v>
      </c>
      <c r="F46" s="67">
        <v>6.1162659999999995</v>
      </c>
      <c r="G46" s="67">
        <v>6.4397739999999999</v>
      </c>
      <c r="H46" s="67">
        <v>8.1597480000000004</v>
      </c>
      <c r="I46" s="135">
        <v>8.77</v>
      </c>
    </row>
    <row r="47" spans="1:10">
      <c r="A47" s="83"/>
      <c r="B47" s="29"/>
      <c r="C47" s="107"/>
      <c r="D47" s="107"/>
      <c r="E47" s="107"/>
      <c r="F47" s="107"/>
    </row>
    <row r="48" spans="1:10">
      <c r="A48" s="110" t="s">
        <v>74</v>
      </c>
      <c r="B48" s="109" t="s">
        <v>28</v>
      </c>
      <c r="C48" s="109">
        <v>2013</v>
      </c>
      <c r="D48" s="109">
        <v>2014</v>
      </c>
      <c r="E48" s="109">
        <v>2015</v>
      </c>
      <c r="F48" s="109">
        <v>2016</v>
      </c>
      <c r="G48" s="109">
        <v>2017</v>
      </c>
      <c r="H48" s="109">
        <v>2018</v>
      </c>
      <c r="I48" s="109">
        <v>2019</v>
      </c>
    </row>
    <row r="49" spans="1:9">
      <c r="A49" s="121" t="s">
        <v>20</v>
      </c>
      <c r="B49" s="30" t="s">
        <v>75</v>
      </c>
      <c r="C49" s="117" t="s">
        <v>37</v>
      </c>
      <c r="D49" s="116" t="s">
        <v>37</v>
      </c>
      <c r="E49" s="116">
        <f>1819.540956/E80</f>
        <v>7.5747134620462411E-2</v>
      </c>
      <c r="F49" s="116">
        <f>1913.99229/F80</f>
        <v>7.4306645487782499E-2</v>
      </c>
      <c r="G49" s="116">
        <f>2297.672517/G80</f>
        <v>8.0011581880649496E-2</v>
      </c>
      <c r="H49" s="116">
        <f>2670.174129/H80</f>
        <v>8.6878000682335449E-2</v>
      </c>
      <c r="I49" s="127">
        <f>2704.24/I74</f>
        <v>8.3207721491445966E-2</v>
      </c>
    </row>
    <row r="50" spans="1:9">
      <c r="A50" s="79" t="s">
        <v>21</v>
      </c>
      <c r="B50" s="30" t="s">
        <v>75</v>
      </c>
      <c r="C50" s="117" t="s">
        <v>37</v>
      </c>
      <c r="D50" s="116" t="s">
        <v>37</v>
      </c>
      <c r="E50" s="116">
        <v>0</v>
      </c>
      <c r="F50" s="116">
        <v>0</v>
      </c>
      <c r="G50" s="116">
        <f>0.66694/G77</f>
        <v>1.2469540757269074E-4</v>
      </c>
      <c r="H50" s="116">
        <f>2.7046/H76</f>
        <v>2.4600646667555524E-4</v>
      </c>
      <c r="I50" s="127">
        <v>0</v>
      </c>
    </row>
    <row r="51" spans="1:9">
      <c r="A51" s="79" t="s">
        <v>22</v>
      </c>
      <c r="B51" s="30" t="s">
        <v>75</v>
      </c>
      <c r="C51" s="117" t="s">
        <v>37</v>
      </c>
      <c r="D51" s="116" t="s">
        <v>37</v>
      </c>
      <c r="E51" s="116">
        <f>87.546/E77</f>
        <v>1.949282256732069E-2</v>
      </c>
      <c r="F51" s="116">
        <f>91.502/F77</f>
        <v>1.857615129645767E-2</v>
      </c>
      <c r="G51" s="116">
        <f>89.48/G77</f>
        <v>1.6729758403461133E-2</v>
      </c>
      <c r="H51" s="116">
        <f>87.724662/H77</f>
        <v>1.5794869712564618E-2</v>
      </c>
      <c r="I51" s="127">
        <f>81.63/I77</f>
        <v>1.3718126299896658E-2</v>
      </c>
    </row>
    <row r="52" spans="1:9">
      <c r="A52" s="79" t="s">
        <v>23</v>
      </c>
      <c r="B52" s="30" t="s">
        <v>75</v>
      </c>
      <c r="C52" s="117" t="s">
        <v>37</v>
      </c>
      <c r="D52" s="116" t="s">
        <v>37</v>
      </c>
      <c r="E52" s="116">
        <f>63.80647/E78</f>
        <v>0.1197104976241264</v>
      </c>
      <c r="F52" s="116">
        <f>56.664611/F78</f>
        <v>0.11215382745748009</v>
      </c>
      <c r="G52" s="116">
        <f>55.889336/G78</f>
        <v>9.9246933767376533E-2</v>
      </c>
      <c r="H52" s="116">
        <f>70.235736/H78</f>
        <v>0.10766922051569501</v>
      </c>
      <c r="I52" s="127">
        <f>65.55/I78</f>
        <v>0.10663524513978756</v>
      </c>
    </row>
    <row r="53" spans="1:9">
      <c r="A53" s="80" t="s">
        <v>24</v>
      </c>
      <c r="B53" s="112" t="s">
        <v>75</v>
      </c>
      <c r="C53" s="118" t="s">
        <v>37</v>
      </c>
      <c r="D53" s="119" t="s">
        <v>37</v>
      </c>
      <c r="E53" s="119">
        <f>1668.188486/E79</f>
        <v>0.16310569799102745</v>
      </c>
      <c r="F53" s="119">
        <f>1765.825679/F79</f>
        <v>0.16221244694270495</v>
      </c>
      <c r="G53" s="119">
        <f>2151.636241/G79</f>
        <v>0.1747625212093005</v>
      </c>
      <c r="H53" s="119">
        <f>2509.509131/H79</f>
        <v>0.18541696114836217</v>
      </c>
      <c r="I53" s="128">
        <f>2557.06/I79</f>
        <v>0.17878291313753025</v>
      </c>
    </row>
    <row r="55" spans="1:9">
      <c r="A55" s="110" t="s">
        <v>76</v>
      </c>
      <c r="B55" s="109" t="s">
        <v>28</v>
      </c>
      <c r="C55" s="109">
        <v>2013</v>
      </c>
      <c r="D55" s="109">
        <v>2014</v>
      </c>
      <c r="E55" s="109">
        <v>2013</v>
      </c>
      <c r="F55" s="109">
        <v>2015</v>
      </c>
      <c r="G55" s="109">
        <v>2017</v>
      </c>
      <c r="H55" s="109">
        <v>2018</v>
      </c>
      <c r="I55" s="109">
        <v>2019</v>
      </c>
    </row>
    <row r="56" spans="1:9">
      <c r="A56" s="121" t="s">
        <v>20</v>
      </c>
      <c r="B56" s="30" t="s">
        <v>75</v>
      </c>
      <c r="C56" s="117"/>
      <c r="D56" s="116"/>
      <c r="E56" s="107"/>
      <c r="F56" s="107"/>
      <c r="G56" s="107"/>
      <c r="H56" s="107"/>
      <c r="I56" s="66"/>
    </row>
    <row r="57" spans="1:9">
      <c r="A57" s="79" t="s">
        <v>21</v>
      </c>
      <c r="B57" s="30" t="s">
        <v>75</v>
      </c>
      <c r="C57" s="117" t="s">
        <v>37</v>
      </c>
      <c r="D57" s="116" t="s">
        <v>37</v>
      </c>
      <c r="E57" s="107">
        <f>133531.81/E76</f>
        <v>15.227017377841772</v>
      </c>
      <c r="F57" s="107">
        <f>141304.216/F76</f>
        <v>14.966887903045853</v>
      </c>
      <c r="G57" s="107">
        <f>144667.78/G76</f>
        <v>13.786693769446176</v>
      </c>
      <c r="H57" s="107">
        <f>147976.68/H76</f>
        <v>13.459742733557384</v>
      </c>
      <c r="I57" s="134">
        <f>154132.8/I76</f>
        <v>13.250713530395824</v>
      </c>
    </row>
    <row r="58" spans="1:9">
      <c r="A58" s="79" t="s">
        <v>22</v>
      </c>
      <c r="B58" s="30" t="s">
        <v>75</v>
      </c>
      <c r="C58" s="117" t="s">
        <v>37</v>
      </c>
      <c r="D58" s="116" t="s">
        <v>37</v>
      </c>
      <c r="E58" s="107">
        <v>0</v>
      </c>
      <c r="F58" s="107">
        <v>0</v>
      </c>
      <c r="G58" s="107">
        <v>0</v>
      </c>
      <c r="H58" s="107">
        <v>0</v>
      </c>
      <c r="I58" s="134">
        <v>0</v>
      </c>
    </row>
    <row r="59" spans="1:9">
      <c r="A59" s="79" t="s">
        <v>23</v>
      </c>
      <c r="B59" s="30" t="s">
        <v>75</v>
      </c>
      <c r="C59" s="117" t="s">
        <v>37</v>
      </c>
      <c r="D59" s="116" t="s">
        <v>37</v>
      </c>
      <c r="E59" s="107">
        <v>0</v>
      </c>
      <c r="F59" s="107">
        <v>0</v>
      </c>
      <c r="G59" s="107">
        <v>0</v>
      </c>
      <c r="H59" s="107">
        <v>0</v>
      </c>
      <c r="I59" s="134">
        <v>0</v>
      </c>
    </row>
    <row r="60" spans="1:9">
      <c r="A60" s="80" t="s">
        <v>24</v>
      </c>
      <c r="B60" s="112" t="s">
        <v>75</v>
      </c>
      <c r="C60" s="118" t="s">
        <v>37</v>
      </c>
      <c r="D60" s="119" t="s">
        <v>37</v>
      </c>
      <c r="E60" s="67">
        <v>0</v>
      </c>
      <c r="F60" s="67">
        <v>0</v>
      </c>
      <c r="G60" s="67">
        <v>0</v>
      </c>
      <c r="H60" s="67">
        <v>0</v>
      </c>
      <c r="I60" s="135">
        <v>0</v>
      </c>
    </row>
    <row r="62" spans="1:9">
      <c r="A62" s="42" t="s">
        <v>49</v>
      </c>
      <c r="B62" s="43" t="s">
        <v>28</v>
      </c>
      <c r="C62" s="44">
        <v>2013</v>
      </c>
      <c r="D62" s="44">
        <v>2014</v>
      </c>
      <c r="E62" s="44">
        <v>2015</v>
      </c>
      <c r="F62" s="44">
        <v>2016</v>
      </c>
      <c r="G62" s="44">
        <v>2017</v>
      </c>
      <c r="H62" s="44">
        <v>2018</v>
      </c>
      <c r="I62" s="44">
        <v>2019</v>
      </c>
    </row>
    <row r="63" spans="1:9">
      <c r="A63" s="27" t="s">
        <v>50</v>
      </c>
      <c r="B63" s="120" t="s">
        <v>61</v>
      </c>
      <c r="C63" s="46">
        <v>4372.5321619999995</v>
      </c>
      <c r="D63" s="46">
        <v>4518.1393589999998</v>
      </c>
      <c r="E63" s="46">
        <v>5080.8265190000002</v>
      </c>
      <c r="F63" s="46">
        <v>5591.5917499999996</v>
      </c>
      <c r="G63" s="46">
        <v>6251.5823550000005</v>
      </c>
      <c r="H63" s="46">
        <v>6536.0211339999996</v>
      </c>
      <c r="I63" s="129">
        <v>6899.5893500000002</v>
      </c>
    </row>
    <row r="64" spans="1:9">
      <c r="A64" s="27" t="s">
        <v>51</v>
      </c>
      <c r="B64" s="120" t="s">
        <v>61</v>
      </c>
      <c r="C64" s="46">
        <v>247.24600000000001</v>
      </c>
      <c r="D64" s="46">
        <v>252.08600000000001</v>
      </c>
      <c r="E64" s="46">
        <v>272.19780000000003</v>
      </c>
      <c r="F64" s="46">
        <v>338.63309100000004</v>
      </c>
      <c r="G64" s="46">
        <v>354.20138000000003</v>
      </c>
      <c r="H64" s="46">
        <v>356.11993999999993</v>
      </c>
      <c r="I64" s="129">
        <v>367.70609999999994</v>
      </c>
    </row>
    <row r="65" spans="1:9">
      <c r="A65" s="27" t="s">
        <v>52</v>
      </c>
      <c r="B65" s="120" t="s">
        <v>61</v>
      </c>
      <c r="C65" s="46">
        <v>1048.1130000000001</v>
      </c>
      <c r="D65" s="46">
        <v>1180.258</v>
      </c>
      <c r="E65" s="46">
        <v>1111.586</v>
      </c>
      <c r="F65" s="46">
        <v>1198.6479999999999</v>
      </c>
      <c r="G65" s="46">
        <v>1454.866</v>
      </c>
      <c r="H65" s="46">
        <v>1865.9880000000001</v>
      </c>
      <c r="I65" s="129">
        <v>1930.085</v>
      </c>
    </row>
    <row r="66" spans="1:9">
      <c r="A66" s="27" t="s">
        <v>53</v>
      </c>
      <c r="B66" s="120" t="s">
        <v>61</v>
      </c>
      <c r="C66" s="46">
        <v>323.89350000000002</v>
      </c>
      <c r="D66" s="46">
        <v>326.86192999999992</v>
      </c>
      <c r="E66" s="46">
        <v>367.82274000000001</v>
      </c>
      <c r="F66" s="46">
        <v>368.4606</v>
      </c>
      <c r="G66" s="46">
        <v>400.65863000000002</v>
      </c>
      <c r="H66" s="46">
        <v>429.34920000000005</v>
      </c>
      <c r="I66" s="129">
        <v>457.27226999999999</v>
      </c>
    </row>
    <row r="67" spans="1:9">
      <c r="A67" s="27" t="s">
        <v>54</v>
      </c>
      <c r="B67" s="120" t="s">
        <v>61</v>
      </c>
      <c r="C67" s="46">
        <v>406.49074999999999</v>
      </c>
      <c r="D67" s="46">
        <v>411.90854999999999</v>
      </c>
      <c r="E67" s="46">
        <v>455.32614999999998</v>
      </c>
      <c r="F67" s="46">
        <v>458.86559999999997</v>
      </c>
      <c r="G67" s="46">
        <v>496.43744999999996</v>
      </c>
      <c r="H67" s="46">
        <v>532.61374999999998</v>
      </c>
      <c r="I67" s="129">
        <v>566.41985</v>
      </c>
    </row>
    <row r="68" spans="1:9">
      <c r="A68" s="27" t="s">
        <v>55</v>
      </c>
      <c r="B68" s="120" t="s">
        <v>61</v>
      </c>
      <c r="C68" s="46">
        <v>903.10739999999987</v>
      </c>
      <c r="D68" s="46">
        <v>965.92969999999991</v>
      </c>
      <c r="E68" s="46">
        <v>978.12216999999987</v>
      </c>
      <c r="F68" s="46">
        <v>1036.1190100000001</v>
      </c>
      <c r="G68" s="46">
        <v>1238.7735799999998</v>
      </c>
      <c r="H68" s="46">
        <v>1589.63777</v>
      </c>
      <c r="I68" s="129">
        <v>1684.1218600000002</v>
      </c>
    </row>
    <row r="69" spans="1:9">
      <c r="A69" s="27" t="s">
        <v>56</v>
      </c>
      <c r="B69" s="120" t="s">
        <v>61</v>
      </c>
      <c r="C69" s="46">
        <v>4338.8249210000004</v>
      </c>
      <c r="D69" s="46">
        <v>4462.0870000000004</v>
      </c>
      <c r="E69" s="46">
        <v>4712.1419999999998</v>
      </c>
      <c r="F69" s="46">
        <v>4926.1260000000002</v>
      </c>
      <c r="G69" s="46">
        <v>5437.8290900000002</v>
      </c>
      <c r="H69" s="46">
        <v>5731.6799927500006</v>
      </c>
      <c r="I69" s="129">
        <v>6123.0059099999999</v>
      </c>
    </row>
    <row r="70" spans="1:9">
      <c r="A70" s="27" t="s">
        <v>57</v>
      </c>
      <c r="B70" s="120" t="s">
        <v>61</v>
      </c>
      <c r="C70" s="46">
        <v>1765.0146000000002</v>
      </c>
      <c r="D70" s="46">
        <v>1933.8893</v>
      </c>
      <c r="E70" s="46">
        <v>2114.2547713556883</v>
      </c>
      <c r="F70" s="46">
        <v>2259.5249461099997</v>
      </c>
      <c r="G70" s="46">
        <v>2469.1977529999999</v>
      </c>
      <c r="H70" s="46">
        <v>2546.2440999999999</v>
      </c>
      <c r="I70" s="129">
        <v>2684.0147000000002</v>
      </c>
    </row>
    <row r="71" spans="1:9">
      <c r="A71" s="27" t="s">
        <v>58</v>
      </c>
      <c r="B71" s="120" t="s">
        <v>61</v>
      </c>
      <c r="C71" s="46">
        <v>27.108000000000001</v>
      </c>
      <c r="D71" s="46">
        <v>27.385999999999999</v>
      </c>
      <c r="E71" s="46">
        <v>36.082900000000002</v>
      </c>
      <c r="F71" s="46">
        <v>46.024999999999999</v>
      </c>
      <c r="G71" s="46">
        <v>47.000500000000002</v>
      </c>
      <c r="H71" s="46">
        <v>48.287999999999997</v>
      </c>
      <c r="I71" s="129">
        <v>56.695999999999998</v>
      </c>
    </row>
    <row r="72" spans="1:9">
      <c r="A72" s="27" t="s">
        <v>59</v>
      </c>
      <c r="B72" s="120" t="s">
        <v>61</v>
      </c>
      <c r="C72" s="46">
        <v>8658.5849999999991</v>
      </c>
      <c r="D72" s="46">
        <v>8407.5130000000008</v>
      </c>
      <c r="E72" s="46">
        <v>8769.4002500000006</v>
      </c>
      <c r="F72" s="46">
        <v>9441.1220900000008</v>
      </c>
      <c r="G72" s="46">
        <v>10493.290300000001</v>
      </c>
      <c r="H72" s="46">
        <v>10994.01994</v>
      </c>
      <c r="I72" s="129">
        <v>11632.03775</v>
      </c>
    </row>
    <row r="73" spans="1:9">
      <c r="A73" s="27" t="s">
        <v>60</v>
      </c>
      <c r="B73" s="120" t="s">
        <v>61</v>
      </c>
      <c r="C73" s="46">
        <v>123.178127</v>
      </c>
      <c r="D73" s="46">
        <v>129.18092999999999</v>
      </c>
      <c r="E73" s="46">
        <v>123.49</v>
      </c>
      <c r="F73" s="46">
        <v>92.906999999999996</v>
      </c>
      <c r="G73" s="46">
        <v>72.912000000000006</v>
      </c>
      <c r="H73" s="46">
        <v>104.79389999999999</v>
      </c>
      <c r="I73" s="129">
        <v>98.919629999999998</v>
      </c>
    </row>
    <row r="74" spans="1:9">
      <c r="A74" s="50" t="s">
        <v>62</v>
      </c>
      <c r="B74" s="54" t="s">
        <v>61</v>
      </c>
      <c r="C74" s="51">
        <v>22214.093459999996</v>
      </c>
      <c r="D74" s="51">
        <v>22615.239769000003</v>
      </c>
      <c r="E74" s="51">
        <v>24021.251300355692</v>
      </c>
      <c r="F74" s="51">
        <v>25758.023087109999</v>
      </c>
      <c r="G74" s="51">
        <v>28716.749037999998</v>
      </c>
      <c r="H74" s="51">
        <v>30734.755726749998</v>
      </c>
      <c r="I74" s="130">
        <f>SUM(I63:I73)</f>
        <v>32499.868419999999</v>
      </c>
    </row>
    <row r="75" spans="1:9">
      <c r="A75" s="27"/>
      <c r="B75" s="55"/>
      <c r="C75" s="47"/>
      <c r="D75" s="47"/>
      <c r="E75" s="47"/>
      <c r="F75" s="47"/>
      <c r="G75" s="47"/>
      <c r="H75" s="47"/>
      <c r="I75" s="129"/>
    </row>
    <row r="76" spans="1:9">
      <c r="A76" s="27" t="s">
        <v>21</v>
      </c>
      <c r="B76" s="120" t="s">
        <v>61</v>
      </c>
      <c r="C76" s="46">
        <v>8658.5849999999991</v>
      </c>
      <c r="D76" s="46">
        <v>8407.5130000000008</v>
      </c>
      <c r="E76" s="46">
        <v>8769.4002500000006</v>
      </c>
      <c r="F76" s="46">
        <v>9441.1220900000008</v>
      </c>
      <c r="G76" s="46">
        <v>10493.290300000001</v>
      </c>
      <c r="H76" s="46">
        <v>10994.01994</v>
      </c>
      <c r="I76" s="129">
        <v>11632.03775</v>
      </c>
    </row>
    <row r="77" spans="1:9">
      <c r="A77" s="27" t="s">
        <v>22</v>
      </c>
      <c r="B77" s="120" t="s">
        <v>61</v>
      </c>
      <c r="C77" s="46">
        <v>4126.6875</v>
      </c>
      <c r="D77" s="46">
        <v>4297.3230000000003</v>
      </c>
      <c r="E77" s="46">
        <v>4491.1915500000005</v>
      </c>
      <c r="F77" s="46">
        <v>4925.7781409999998</v>
      </c>
      <c r="G77" s="46">
        <v>5348.55303</v>
      </c>
      <c r="H77" s="46">
        <v>5553.99719</v>
      </c>
      <c r="I77" s="129">
        <v>5950.5210999999999</v>
      </c>
    </row>
    <row r="78" spans="1:9">
      <c r="A78" s="27" t="s">
        <v>23</v>
      </c>
      <c r="B78" s="120" t="s">
        <v>61</v>
      </c>
      <c r="C78" s="46">
        <v>403.33886000000001</v>
      </c>
      <c r="D78" s="46">
        <v>444.28089999999997</v>
      </c>
      <c r="E78" s="46">
        <v>533.00647200000003</v>
      </c>
      <c r="F78" s="46">
        <v>505.2401000000001</v>
      </c>
      <c r="G78" s="46">
        <v>563.13413299999991</v>
      </c>
      <c r="H78" s="46">
        <v>652.32882400000005</v>
      </c>
      <c r="I78" s="129">
        <v>614.71233000000007</v>
      </c>
    </row>
    <row r="79" spans="1:9">
      <c r="A79" s="27" t="s">
        <v>24</v>
      </c>
      <c r="B79" s="120" t="s">
        <v>61</v>
      </c>
      <c r="C79" s="46">
        <v>9025.4820999999993</v>
      </c>
      <c r="D79" s="46">
        <v>9466.1228690000007</v>
      </c>
      <c r="E79" s="46">
        <v>10227.653028355688</v>
      </c>
      <c r="F79" s="46">
        <v>10885.882756109999</v>
      </c>
      <c r="G79" s="46">
        <v>12311.771574999999</v>
      </c>
      <c r="H79" s="46">
        <v>13534.409772749999</v>
      </c>
      <c r="I79" s="129">
        <v>14302.597240000001</v>
      </c>
    </row>
    <row r="80" spans="1:9">
      <c r="A80" s="50" t="s">
        <v>62</v>
      </c>
      <c r="B80" s="54" t="s">
        <v>61</v>
      </c>
      <c r="C80" s="51">
        <v>22214.09346</v>
      </c>
      <c r="D80" s="51">
        <v>22615.239769</v>
      </c>
      <c r="E80" s="51">
        <v>24021.251300355689</v>
      </c>
      <c r="F80" s="51">
        <v>25758.023087110003</v>
      </c>
      <c r="G80" s="51">
        <v>28716.749038000002</v>
      </c>
      <c r="H80" s="51">
        <v>30734.755726750001</v>
      </c>
      <c r="I80" s="131">
        <f>SUM(I76:I79)</f>
        <v>32499.868419999999</v>
      </c>
    </row>
    <row r="82" spans="1:1">
      <c r="A82" t="s">
        <v>171</v>
      </c>
    </row>
  </sheetData>
  <pageMargins left="0.25" right="0.25" top="0.75" bottom="0.75" header="0.3" footer="0.3"/>
  <pageSetup paperSize="9" scale="59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L341"/>
  <sheetViews>
    <sheetView showGridLines="0" zoomScaleNormal="100" zoomScaleSheetLayoutView="100" workbookViewId="0">
      <selection activeCell="M21" sqref="M21"/>
    </sheetView>
  </sheetViews>
  <sheetFormatPr defaultRowHeight="14.4" zeroHeight="1"/>
  <cols>
    <col min="1" max="1" width="43.6640625" customWidth="1"/>
    <col min="2" max="2" width="20.109375" bestFit="1" customWidth="1"/>
    <col min="3" max="3" width="12.6640625" bestFit="1" customWidth="1"/>
    <col min="4" max="4" width="10.88671875" customWidth="1"/>
    <col min="5" max="6" width="10.6640625" customWidth="1"/>
    <col min="7" max="7" width="10.88671875" customWidth="1"/>
    <col min="8" max="8" width="11" customWidth="1"/>
    <col min="9" max="10" width="11.109375" customWidth="1"/>
    <col min="11" max="11" width="12.6640625" bestFit="1" customWidth="1"/>
    <col min="12" max="12" width="9.109375" style="6"/>
  </cols>
  <sheetData>
    <row r="1" spans="1:12" ht="16.5" customHeight="1">
      <c r="A1" s="5"/>
      <c r="B1" s="7"/>
      <c r="C1" s="8"/>
      <c r="D1" s="8"/>
      <c r="E1" s="8"/>
      <c r="F1" s="8"/>
      <c r="G1" s="8"/>
      <c r="H1" s="8"/>
      <c r="I1" s="8"/>
      <c r="J1" s="8"/>
      <c r="K1" s="8"/>
    </row>
    <row r="2" spans="1:12" ht="15.6">
      <c r="A2" s="70" t="s">
        <v>77</v>
      </c>
      <c r="B2" s="24"/>
      <c r="C2" s="24"/>
      <c r="D2" s="24"/>
      <c r="E2" s="24"/>
      <c r="F2" s="24"/>
      <c r="G2" s="24"/>
      <c r="H2" s="24"/>
      <c r="I2" s="24"/>
      <c r="J2" s="24"/>
      <c r="K2" s="3"/>
      <c r="L2"/>
    </row>
    <row r="3" spans="1:12">
      <c r="A3" s="3"/>
      <c r="B3" s="3"/>
      <c r="C3" s="3"/>
      <c r="D3" s="3"/>
      <c r="E3" s="3"/>
      <c r="F3" s="3"/>
      <c r="G3" s="3"/>
      <c r="H3" s="3"/>
      <c r="I3" s="3"/>
      <c r="J3" s="3"/>
    </row>
    <row r="4" spans="1:12">
      <c r="A4" s="3"/>
      <c r="B4" s="3"/>
      <c r="C4" s="3"/>
      <c r="D4" s="3"/>
      <c r="E4" s="3"/>
      <c r="F4" s="3"/>
      <c r="G4" s="3"/>
      <c r="H4" s="3"/>
      <c r="I4" s="3"/>
      <c r="J4" s="3"/>
    </row>
    <row r="5" spans="1:12">
      <c r="C5" s="39" t="s">
        <v>28</v>
      </c>
      <c r="D5" s="36">
        <v>2013</v>
      </c>
      <c r="E5" s="36">
        <v>2014</v>
      </c>
      <c r="F5" s="36">
        <v>2015</v>
      </c>
      <c r="G5" s="36">
        <v>2016</v>
      </c>
      <c r="H5" s="36">
        <v>2017</v>
      </c>
      <c r="I5" s="36">
        <v>2018</v>
      </c>
      <c r="J5" s="109">
        <v>2019</v>
      </c>
      <c r="K5" s="36" t="s">
        <v>30</v>
      </c>
    </row>
    <row r="6" spans="1:12">
      <c r="A6" s="173" t="s">
        <v>83</v>
      </c>
      <c r="B6" s="174"/>
      <c r="C6" s="30" t="s">
        <v>78</v>
      </c>
      <c r="D6" s="116" t="s">
        <v>37</v>
      </c>
      <c r="E6" s="46">
        <v>1155</v>
      </c>
      <c r="F6" s="46">
        <v>2288</v>
      </c>
      <c r="G6" s="46">
        <v>1934</v>
      </c>
      <c r="H6" s="46">
        <v>1985</v>
      </c>
      <c r="I6" s="46">
        <v>1712</v>
      </c>
      <c r="J6" s="48">
        <v>2274</v>
      </c>
    </row>
    <row r="7" spans="1:12">
      <c r="A7" s="166" t="s">
        <v>84</v>
      </c>
      <c r="B7" s="167"/>
      <c r="C7" s="30" t="s">
        <v>0</v>
      </c>
      <c r="D7" s="65">
        <v>4.0670418702455313</v>
      </c>
      <c r="E7" s="65">
        <v>3.6467656661651269</v>
      </c>
      <c r="F7" s="65">
        <v>4.0185965422054331</v>
      </c>
      <c r="G7" s="65">
        <v>4.4000000000000004</v>
      </c>
      <c r="H7" s="65">
        <v>5.6</v>
      </c>
      <c r="I7" s="65">
        <v>6</v>
      </c>
      <c r="J7" s="66">
        <v>7.3</v>
      </c>
    </row>
    <row r="8" spans="1:12">
      <c r="A8" s="166" t="s">
        <v>85</v>
      </c>
      <c r="B8" s="167"/>
      <c r="C8" s="30" t="s">
        <v>78</v>
      </c>
      <c r="D8" s="46">
        <v>23267.991666666665</v>
      </c>
      <c r="E8" s="46">
        <v>19633.057500000006</v>
      </c>
      <c r="F8" s="46">
        <v>17519.972916666666</v>
      </c>
      <c r="G8" s="46">
        <v>17145.372499999998</v>
      </c>
      <c r="H8" s="46">
        <v>17220.03</v>
      </c>
      <c r="I8" s="46">
        <v>17457.969999999998</v>
      </c>
      <c r="J8" s="48">
        <v>17484</v>
      </c>
    </row>
    <row r="9" spans="1:12">
      <c r="A9" s="166" t="s">
        <v>86</v>
      </c>
      <c r="B9" s="167"/>
      <c r="C9" s="30" t="s">
        <v>79</v>
      </c>
      <c r="D9" s="116" t="s">
        <v>37</v>
      </c>
      <c r="E9" s="116" t="s">
        <v>37</v>
      </c>
      <c r="F9" s="116" t="s">
        <v>37</v>
      </c>
      <c r="G9" s="46">
        <v>190841.74600000001</v>
      </c>
      <c r="H9" s="46">
        <v>201154.45749</v>
      </c>
      <c r="I9" s="46">
        <v>221830.69813999999</v>
      </c>
      <c r="J9" s="136">
        <v>225486.19900000002</v>
      </c>
    </row>
    <row r="10" spans="1:12">
      <c r="A10" s="175" t="s">
        <v>89</v>
      </c>
      <c r="B10" s="176"/>
      <c r="C10" s="30" t="s">
        <v>79</v>
      </c>
      <c r="D10" s="116" t="s">
        <v>37</v>
      </c>
      <c r="E10" s="116" t="s">
        <v>37</v>
      </c>
      <c r="F10" s="116" t="s">
        <v>37</v>
      </c>
      <c r="G10" s="46">
        <v>14609.624</v>
      </c>
      <c r="H10" s="46">
        <v>31360.353090000001</v>
      </c>
      <c r="I10" s="46">
        <v>39582.314000000006</v>
      </c>
      <c r="J10" s="136">
        <v>64369.625</v>
      </c>
    </row>
    <row r="11" spans="1:12">
      <c r="A11" s="166" t="s">
        <v>87</v>
      </c>
      <c r="B11" s="167"/>
      <c r="C11" s="30" t="s">
        <v>79</v>
      </c>
      <c r="D11" s="116" t="s">
        <v>37</v>
      </c>
      <c r="E11" s="116" t="s">
        <v>37</v>
      </c>
      <c r="F11" s="116" t="s">
        <v>37</v>
      </c>
      <c r="G11" s="46">
        <v>61749</v>
      </c>
      <c r="H11" s="46">
        <v>64613.796930000011</v>
      </c>
      <c r="I11" s="46">
        <v>70629.862400000013</v>
      </c>
      <c r="J11" s="136">
        <v>82533</v>
      </c>
    </row>
    <row r="12" spans="1:12">
      <c r="A12" s="166" t="s">
        <v>88</v>
      </c>
      <c r="B12" s="167"/>
      <c r="C12" s="30" t="s">
        <v>79</v>
      </c>
      <c r="D12" s="116" t="s">
        <v>37</v>
      </c>
      <c r="E12" s="116" t="s">
        <v>37</v>
      </c>
      <c r="F12" s="116" t="s">
        <v>37</v>
      </c>
      <c r="G12" s="46">
        <v>25194.347000000002</v>
      </c>
      <c r="H12" s="46">
        <v>45356.43</v>
      </c>
      <c r="I12" s="46">
        <v>68916</v>
      </c>
      <c r="J12" s="136">
        <v>45001</v>
      </c>
    </row>
    <row r="13" spans="1:12">
      <c r="A13" s="166" t="s">
        <v>90</v>
      </c>
      <c r="B13" s="167"/>
      <c r="C13" s="30" t="s">
        <v>79</v>
      </c>
      <c r="D13" s="116" t="s">
        <v>37</v>
      </c>
      <c r="E13" s="116" t="s">
        <v>37</v>
      </c>
      <c r="F13" s="116" t="s">
        <v>37</v>
      </c>
      <c r="G13" s="46">
        <v>11.982905008333885</v>
      </c>
      <c r="H13" s="46">
        <v>13.502578716761818</v>
      </c>
      <c r="I13" s="46">
        <v>14.973849315813926</v>
      </c>
      <c r="J13" s="136">
        <v>17</v>
      </c>
    </row>
    <row r="14" spans="1:12">
      <c r="A14" s="166" t="s">
        <v>91</v>
      </c>
      <c r="B14" s="167"/>
      <c r="C14" s="102" t="s">
        <v>78</v>
      </c>
      <c r="D14" s="116" t="s">
        <v>37</v>
      </c>
      <c r="E14" s="116" t="s">
        <v>37</v>
      </c>
      <c r="F14" s="46">
        <v>638</v>
      </c>
      <c r="G14" s="46">
        <v>566</v>
      </c>
      <c r="H14" s="46">
        <v>554</v>
      </c>
      <c r="I14" s="46">
        <v>546</v>
      </c>
      <c r="J14" s="136">
        <v>550</v>
      </c>
    </row>
    <row r="15" spans="1:12">
      <c r="A15" s="166" t="s">
        <v>92</v>
      </c>
      <c r="B15" s="167"/>
      <c r="C15" s="102" t="s">
        <v>78</v>
      </c>
      <c r="D15" s="116" t="s">
        <v>37</v>
      </c>
      <c r="E15" s="116" t="s">
        <v>37</v>
      </c>
      <c r="F15" s="46">
        <v>168</v>
      </c>
      <c r="G15" s="46">
        <v>120</v>
      </c>
      <c r="H15" s="46">
        <v>169</v>
      </c>
      <c r="I15" s="46">
        <v>133</v>
      </c>
      <c r="J15" s="48">
        <v>136</v>
      </c>
    </row>
    <row r="16" spans="1:12">
      <c r="A16" s="166" t="s">
        <v>93</v>
      </c>
      <c r="B16" s="167"/>
      <c r="C16" s="102" t="s">
        <v>80</v>
      </c>
      <c r="D16" s="116" t="s">
        <v>37</v>
      </c>
      <c r="E16" s="46">
        <v>93</v>
      </c>
      <c r="F16" s="46">
        <v>92</v>
      </c>
      <c r="G16" s="46">
        <v>64</v>
      </c>
      <c r="H16" s="46">
        <v>91</v>
      </c>
      <c r="I16" s="46">
        <v>75</v>
      </c>
      <c r="J16" s="48">
        <v>82</v>
      </c>
      <c r="K16" s="103">
        <v>123</v>
      </c>
    </row>
    <row r="17" spans="1:12">
      <c r="A17" s="166" t="s">
        <v>94</v>
      </c>
      <c r="B17" s="167"/>
      <c r="C17" s="30" t="s">
        <v>0</v>
      </c>
      <c r="D17" s="116" t="s">
        <v>37</v>
      </c>
      <c r="E17" s="116" t="s">
        <v>37</v>
      </c>
      <c r="F17" s="116" t="s">
        <v>37</v>
      </c>
      <c r="G17" s="46">
        <v>0</v>
      </c>
      <c r="H17" s="46">
        <v>0</v>
      </c>
      <c r="I17" s="46">
        <v>0</v>
      </c>
      <c r="J17" s="137">
        <v>1</v>
      </c>
    </row>
    <row r="18" spans="1:12">
      <c r="A18" s="166" t="s">
        <v>95</v>
      </c>
      <c r="B18" s="167"/>
      <c r="C18" s="30" t="s">
        <v>81</v>
      </c>
      <c r="D18" s="46">
        <v>40.6</v>
      </c>
      <c r="E18" s="46">
        <v>40.9</v>
      </c>
      <c r="F18" s="46">
        <v>40.200000000000003</v>
      </c>
      <c r="G18" s="46">
        <v>39.808804709495774</v>
      </c>
      <c r="H18" s="46">
        <v>38.6</v>
      </c>
      <c r="I18" s="46">
        <v>38.6</v>
      </c>
      <c r="J18" s="137">
        <v>39</v>
      </c>
    </row>
    <row r="19" spans="1:12">
      <c r="A19" s="166" t="s">
        <v>97</v>
      </c>
      <c r="B19" s="167"/>
      <c r="C19" s="30" t="s">
        <v>0</v>
      </c>
      <c r="D19" s="46">
        <v>27</v>
      </c>
      <c r="E19" s="46">
        <v>37</v>
      </c>
      <c r="F19" s="46">
        <v>43</v>
      </c>
      <c r="G19" s="46">
        <v>52</v>
      </c>
      <c r="H19" s="46">
        <v>54</v>
      </c>
      <c r="I19" s="46">
        <v>62</v>
      </c>
      <c r="J19" s="48">
        <v>57</v>
      </c>
      <c r="K19" s="103">
        <v>65</v>
      </c>
    </row>
    <row r="20" spans="1:12">
      <c r="A20" s="168" t="s">
        <v>96</v>
      </c>
      <c r="B20" s="169"/>
      <c r="C20" s="31" t="s">
        <v>82</v>
      </c>
      <c r="D20" s="57">
        <v>44978.703012044862</v>
      </c>
      <c r="E20" s="57">
        <v>50296.160455201127</v>
      </c>
      <c r="F20" s="57">
        <v>61494.661093014722</v>
      </c>
      <c r="G20" s="57">
        <v>74887.914550442598</v>
      </c>
      <c r="H20" s="57">
        <v>76525.601310232407</v>
      </c>
      <c r="I20" s="57">
        <v>80672.098110002713</v>
      </c>
      <c r="J20" s="58">
        <v>87191</v>
      </c>
    </row>
    <row r="21" spans="1:12"/>
    <row r="22" spans="1:12"/>
    <row r="23" spans="1:12" ht="15.6">
      <c r="A23" s="69" t="s">
        <v>98</v>
      </c>
      <c r="B23" s="24"/>
      <c r="C23" s="24"/>
      <c r="D23" s="24"/>
      <c r="E23" s="24"/>
      <c r="F23" s="24"/>
      <c r="G23" s="24"/>
      <c r="H23" s="24"/>
      <c r="I23" s="36"/>
      <c r="J23" s="109"/>
      <c r="K23" s="3"/>
      <c r="L23"/>
    </row>
    <row r="24" spans="1:12"/>
    <row r="25" spans="1:12"/>
    <row r="26" spans="1:12">
      <c r="A26" s="25" t="s">
        <v>99</v>
      </c>
      <c r="B26" s="39" t="s">
        <v>100</v>
      </c>
      <c r="C26" s="39" t="s">
        <v>28</v>
      </c>
      <c r="D26" s="36">
        <v>2013</v>
      </c>
      <c r="E26" s="36">
        <v>2014</v>
      </c>
      <c r="F26" s="36">
        <v>2015</v>
      </c>
      <c r="G26" s="36">
        <v>2016</v>
      </c>
      <c r="H26" s="36">
        <v>2017</v>
      </c>
      <c r="I26" s="36">
        <v>2018</v>
      </c>
      <c r="J26" s="109">
        <v>2019</v>
      </c>
    </row>
    <row r="27" spans="1:12">
      <c r="A27" s="170" t="s">
        <v>101</v>
      </c>
      <c r="B27" s="37" t="s">
        <v>24</v>
      </c>
      <c r="C27" s="162" t="s">
        <v>78</v>
      </c>
      <c r="D27" s="45">
        <v>7</v>
      </c>
      <c r="E27" s="45">
        <v>4</v>
      </c>
      <c r="F27" s="45">
        <v>1</v>
      </c>
      <c r="G27" s="45">
        <v>0</v>
      </c>
      <c r="H27" s="45">
        <v>2</v>
      </c>
      <c r="I27" s="45">
        <v>0</v>
      </c>
      <c r="J27" s="71">
        <v>4</v>
      </c>
    </row>
    <row r="28" spans="1:12">
      <c r="A28" s="171"/>
      <c r="B28" s="37" t="s">
        <v>21</v>
      </c>
      <c r="C28" s="162"/>
      <c r="D28" s="45">
        <v>22</v>
      </c>
      <c r="E28" s="45">
        <v>14</v>
      </c>
      <c r="F28" s="45">
        <v>10</v>
      </c>
      <c r="G28" s="45">
        <v>9</v>
      </c>
      <c r="H28" s="45">
        <v>2</v>
      </c>
      <c r="I28" s="45">
        <v>2</v>
      </c>
      <c r="J28" s="71">
        <v>6</v>
      </c>
    </row>
    <row r="29" spans="1:12">
      <c r="A29" s="171"/>
      <c r="B29" s="37" t="s">
        <v>22</v>
      </c>
      <c r="C29" s="162"/>
      <c r="D29" s="45">
        <v>2</v>
      </c>
      <c r="E29" s="45">
        <v>0</v>
      </c>
      <c r="F29" s="45">
        <v>1</v>
      </c>
      <c r="G29" s="45">
        <v>0</v>
      </c>
      <c r="H29" s="45">
        <v>1</v>
      </c>
      <c r="I29" s="45">
        <v>1</v>
      </c>
      <c r="J29" s="71">
        <v>1</v>
      </c>
    </row>
    <row r="30" spans="1:12">
      <c r="A30" s="172"/>
      <c r="B30" s="31" t="s">
        <v>23</v>
      </c>
      <c r="C30" s="163"/>
      <c r="D30" s="45">
        <v>3</v>
      </c>
      <c r="E30" s="45">
        <v>0</v>
      </c>
      <c r="F30" s="45">
        <v>2</v>
      </c>
      <c r="G30" s="45">
        <v>0</v>
      </c>
      <c r="H30" s="45">
        <v>0</v>
      </c>
      <c r="I30" s="45">
        <v>1</v>
      </c>
      <c r="J30" s="71">
        <v>0</v>
      </c>
    </row>
    <row r="31" spans="1:12" ht="15" customHeight="1">
      <c r="A31" s="170" t="s">
        <v>102</v>
      </c>
      <c r="B31" s="37" t="s">
        <v>24</v>
      </c>
      <c r="C31" s="162" t="s">
        <v>78</v>
      </c>
      <c r="D31" s="72" t="s">
        <v>37</v>
      </c>
      <c r="E31" s="72">
        <v>1</v>
      </c>
      <c r="F31" s="72">
        <v>2</v>
      </c>
      <c r="G31" s="72">
        <v>1</v>
      </c>
      <c r="H31" s="72">
        <v>5</v>
      </c>
      <c r="I31" s="72">
        <v>11</v>
      </c>
      <c r="J31" s="71">
        <v>2</v>
      </c>
    </row>
    <row r="32" spans="1:12">
      <c r="A32" s="171"/>
      <c r="B32" s="37" t="s">
        <v>21</v>
      </c>
      <c r="C32" s="162"/>
      <c r="D32" s="72" t="s">
        <v>37</v>
      </c>
      <c r="E32" s="72">
        <v>3</v>
      </c>
      <c r="F32" s="72">
        <v>7</v>
      </c>
      <c r="G32" s="72">
        <v>4</v>
      </c>
      <c r="H32" s="72">
        <v>8</v>
      </c>
      <c r="I32" s="72">
        <v>5</v>
      </c>
      <c r="J32" s="71">
        <v>8</v>
      </c>
    </row>
    <row r="33" spans="1:10">
      <c r="A33" s="171"/>
      <c r="B33" s="37" t="s">
        <v>22</v>
      </c>
      <c r="C33" s="162"/>
      <c r="D33" s="72" t="s">
        <v>37</v>
      </c>
      <c r="E33" s="72">
        <v>1</v>
      </c>
      <c r="F33" s="72">
        <v>0</v>
      </c>
      <c r="G33" s="72">
        <v>3</v>
      </c>
      <c r="H33" s="72">
        <v>3</v>
      </c>
      <c r="I33" s="72">
        <v>2</v>
      </c>
      <c r="J33" s="71">
        <v>1</v>
      </c>
    </row>
    <row r="34" spans="1:10" ht="15" customHeight="1">
      <c r="A34" s="172"/>
      <c r="B34" s="31" t="s">
        <v>23</v>
      </c>
      <c r="C34" s="163"/>
      <c r="D34" s="73" t="s">
        <v>37</v>
      </c>
      <c r="E34" s="73">
        <v>0</v>
      </c>
      <c r="F34" s="73">
        <v>0</v>
      </c>
      <c r="G34" s="73">
        <v>1</v>
      </c>
      <c r="H34" s="73">
        <v>1</v>
      </c>
      <c r="I34" s="73">
        <v>0</v>
      </c>
      <c r="J34" s="74">
        <v>0</v>
      </c>
    </row>
    <row r="35" spans="1:10">
      <c r="A35" s="75" t="s">
        <v>103</v>
      </c>
      <c r="B35" s="31"/>
      <c r="C35" s="31" t="s">
        <v>78</v>
      </c>
      <c r="D35" s="73">
        <v>34</v>
      </c>
      <c r="E35" s="73">
        <v>23</v>
      </c>
      <c r="F35" s="73">
        <v>23</v>
      </c>
      <c r="G35" s="73">
        <v>18</v>
      </c>
      <c r="H35" s="73">
        <v>22</v>
      </c>
      <c r="I35" s="73">
        <v>22</v>
      </c>
      <c r="J35" s="74">
        <v>22</v>
      </c>
    </row>
    <row r="36" spans="1:10">
      <c r="A36" s="78"/>
      <c r="B36" s="29"/>
      <c r="C36" s="29"/>
      <c r="D36" s="72"/>
      <c r="E36" s="72"/>
      <c r="F36" s="72"/>
      <c r="G36" s="72"/>
      <c r="H36" s="72"/>
      <c r="I36" s="72"/>
      <c r="J36" s="72"/>
    </row>
    <row r="37" spans="1:10">
      <c r="A37" s="25" t="s">
        <v>104</v>
      </c>
      <c r="B37" s="39" t="s">
        <v>100</v>
      </c>
      <c r="C37" s="39" t="s">
        <v>28</v>
      </c>
      <c r="D37" s="36">
        <v>2013</v>
      </c>
      <c r="E37" s="36">
        <v>2014</v>
      </c>
      <c r="F37" s="36">
        <v>2015</v>
      </c>
      <c r="G37" s="36">
        <v>2016</v>
      </c>
      <c r="H37" s="36">
        <v>2017</v>
      </c>
      <c r="I37" s="36">
        <v>2018</v>
      </c>
      <c r="J37" s="109">
        <v>2019</v>
      </c>
    </row>
    <row r="38" spans="1:10">
      <c r="A38" s="170" t="s">
        <v>105</v>
      </c>
      <c r="B38" s="37" t="s">
        <v>24</v>
      </c>
      <c r="C38" s="161" t="s">
        <v>78</v>
      </c>
      <c r="D38" s="76">
        <v>0</v>
      </c>
      <c r="E38" s="76">
        <v>0</v>
      </c>
      <c r="F38" s="76">
        <v>0</v>
      </c>
      <c r="G38" s="76">
        <v>0</v>
      </c>
      <c r="H38" s="76">
        <v>0</v>
      </c>
      <c r="I38" s="76">
        <v>0</v>
      </c>
      <c r="J38" s="77">
        <v>0</v>
      </c>
    </row>
    <row r="39" spans="1:10">
      <c r="A39" s="171"/>
      <c r="B39" s="37" t="s">
        <v>21</v>
      </c>
      <c r="C39" s="162"/>
      <c r="D39" s="72">
        <v>2</v>
      </c>
      <c r="E39" s="72">
        <v>5</v>
      </c>
      <c r="F39" s="72">
        <v>0</v>
      </c>
      <c r="G39" s="72">
        <v>1</v>
      </c>
      <c r="H39" s="72">
        <v>1</v>
      </c>
      <c r="I39" s="72">
        <v>0</v>
      </c>
      <c r="J39" s="71">
        <v>3</v>
      </c>
    </row>
    <row r="40" spans="1:10">
      <c r="A40" s="171"/>
      <c r="B40" s="37" t="s">
        <v>22</v>
      </c>
      <c r="C40" s="162"/>
      <c r="D40" s="72">
        <v>0</v>
      </c>
      <c r="E40" s="72">
        <v>0</v>
      </c>
      <c r="F40" s="72">
        <v>0</v>
      </c>
      <c r="G40" s="72">
        <v>0</v>
      </c>
      <c r="H40" s="72">
        <v>0</v>
      </c>
      <c r="I40" s="72">
        <v>0</v>
      </c>
      <c r="J40" s="71">
        <v>0</v>
      </c>
    </row>
    <row r="41" spans="1:10">
      <c r="A41" s="172"/>
      <c r="B41" s="31" t="s">
        <v>23</v>
      </c>
      <c r="C41" s="163"/>
      <c r="D41" s="72">
        <v>0</v>
      </c>
      <c r="E41" s="72">
        <v>0</v>
      </c>
      <c r="F41" s="72">
        <v>0</v>
      </c>
      <c r="G41" s="72">
        <v>0</v>
      </c>
      <c r="H41" s="72">
        <v>0</v>
      </c>
      <c r="I41" s="72">
        <v>0</v>
      </c>
      <c r="J41" s="71">
        <v>0</v>
      </c>
    </row>
    <row r="42" spans="1:10">
      <c r="A42" s="170" t="s">
        <v>106</v>
      </c>
      <c r="B42" s="37" t="s">
        <v>24</v>
      </c>
      <c r="C42" s="162" t="s">
        <v>78</v>
      </c>
      <c r="D42" s="72" t="s">
        <v>37</v>
      </c>
      <c r="E42" s="72">
        <v>1</v>
      </c>
      <c r="F42" s="72">
        <v>1</v>
      </c>
      <c r="G42" s="72">
        <v>1</v>
      </c>
      <c r="H42" s="72">
        <v>0</v>
      </c>
      <c r="I42" s="72">
        <v>1</v>
      </c>
      <c r="J42" s="71">
        <v>0</v>
      </c>
    </row>
    <row r="43" spans="1:10">
      <c r="A43" s="171"/>
      <c r="B43" s="37" t="s">
        <v>21</v>
      </c>
      <c r="C43" s="162"/>
      <c r="D43" s="72" t="s">
        <v>37</v>
      </c>
      <c r="E43" s="72">
        <v>3</v>
      </c>
      <c r="F43" s="72">
        <v>1</v>
      </c>
      <c r="G43" s="72">
        <v>0</v>
      </c>
      <c r="H43" s="72">
        <v>1</v>
      </c>
      <c r="I43" s="72">
        <v>1</v>
      </c>
      <c r="J43" s="71">
        <v>1</v>
      </c>
    </row>
    <row r="44" spans="1:10">
      <c r="A44" s="171"/>
      <c r="B44" s="37" t="s">
        <v>22</v>
      </c>
      <c r="C44" s="162"/>
      <c r="D44" s="72" t="s">
        <v>37</v>
      </c>
      <c r="E44" s="72">
        <v>0</v>
      </c>
      <c r="F44" s="72">
        <v>0</v>
      </c>
      <c r="G44" s="72">
        <v>1</v>
      </c>
      <c r="H44" s="72">
        <v>0</v>
      </c>
      <c r="I44" s="72">
        <v>0</v>
      </c>
      <c r="J44" s="71">
        <v>1</v>
      </c>
    </row>
    <row r="45" spans="1:10">
      <c r="A45" s="172"/>
      <c r="B45" s="31" t="s">
        <v>23</v>
      </c>
      <c r="C45" s="163"/>
      <c r="D45" s="73" t="s">
        <v>37</v>
      </c>
      <c r="E45" s="73">
        <v>2</v>
      </c>
      <c r="F45" s="73">
        <v>0</v>
      </c>
      <c r="G45" s="73">
        <v>0</v>
      </c>
      <c r="H45" s="73">
        <v>1</v>
      </c>
      <c r="I45" s="73">
        <v>0</v>
      </c>
      <c r="J45" s="74">
        <v>0</v>
      </c>
    </row>
    <row r="46" spans="1:10">
      <c r="A46" s="75" t="s">
        <v>107</v>
      </c>
      <c r="B46" s="31"/>
      <c r="C46" s="96" t="s">
        <v>78</v>
      </c>
      <c r="D46" s="73">
        <v>2</v>
      </c>
      <c r="E46" s="73">
        <v>6</v>
      </c>
      <c r="F46" s="73">
        <v>2</v>
      </c>
      <c r="G46" s="73">
        <v>3</v>
      </c>
      <c r="H46" s="73">
        <v>3</v>
      </c>
      <c r="I46" s="73">
        <v>2</v>
      </c>
      <c r="J46" s="74">
        <v>5</v>
      </c>
    </row>
    <row r="47" spans="1:10">
      <c r="A47" s="78"/>
      <c r="B47" s="29"/>
      <c r="C47" s="29"/>
      <c r="D47" s="72"/>
      <c r="E47" s="72"/>
      <c r="F47" s="72"/>
      <c r="G47" s="72"/>
      <c r="H47" s="72"/>
      <c r="I47" s="72"/>
      <c r="J47" s="72"/>
    </row>
    <row r="48" spans="1:10">
      <c r="A48" s="25" t="s">
        <v>7</v>
      </c>
      <c r="B48" s="39" t="s">
        <v>100</v>
      </c>
      <c r="C48" s="39" t="s">
        <v>28</v>
      </c>
      <c r="D48" s="36">
        <v>2013</v>
      </c>
      <c r="E48" s="36">
        <v>2014</v>
      </c>
      <c r="F48" s="36">
        <v>2015</v>
      </c>
      <c r="G48" s="36">
        <v>2016</v>
      </c>
      <c r="H48" s="36">
        <v>2017</v>
      </c>
      <c r="I48" s="36">
        <v>2018</v>
      </c>
      <c r="J48" s="109">
        <v>2019</v>
      </c>
    </row>
    <row r="49" spans="1:12">
      <c r="A49" s="170" t="s">
        <v>108</v>
      </c>
      <c r="B49" s="37" t="s">
        <v>24</v>
      </c>
      <c r="C49" s="155" t="s">
        <v>110</v>
      </c>
      <c r="D49" s="158">
        <v>0.22</v>
      </c>
      <c r="E49" s="159">
        <v>0.18</v>
      </c>
      <c r="F49" s="159">
        <v>0.15</v>
      </c>
      <c r="G49" s="159">
        <v>0.11</v>
      </c>
      <c r="H49" s="159">
        <v>7.0000000000000007E-2</v>
      </c>
      <c r="I49" s="159">
        <v>0.04</v>
      </c>
      <c r="J49" s="149">
        <v>0.15</v>
      </c>
    </row>
    <row r="50" spans="1:12">
      <c r="A50" s="171"/>
      <c r="B50" s="37" t="s">
        <v>21</v>
      </c>
      <c r="C50" s="156"/>
      <c r="D50" s="158"/>
      <c r="E50" s="159"/>
      <c r="F50" s="159"/>
      <c r="G50" s="159"/>
      <c r="H50" s="159"/>
      <c r="I50" s="159"/>
      <c r="J50" s="149"/>
    </row>
    <row r="51" spans="1:12">
      <c r="A51" s="171"/>
      <c r="B51" s="37" t="s">
        <v>22</v>
      </c>
      <c r="C51" s="156"/>
      <c r="D51" s="158"/>
      <c r="E51" s="159"/>
      <c r="F51" s="159"/>
      <c r="G51" s="159"/>
      <c r="H51" s="159"/>
      <c r="I51" s="159"/>
      <c r="J51" s="149"/>
    </row>
    <row r="52" spans="1:12">
      <c r="A52" s="172"/>
      <c r="B52" s="31" t="s">
        <v>23</v>
      </c>
      <c r="C52" s="157"/>
      <c r="D52" s="158"/>
      <c r="E52" s="159"/>
      <c r="F52" s="159"/>
      <c r="G52" s="159"/>
      <c r="H52" s="159"/>
      <c r="I52" s="159"/>
      <c r="J52" s="149"/>
    </row>
    <row r="53" spans="1:12" ht="15" customHeight="1">
      <c r="A53" s="170" t="s">
        <v>109</v>
      </c>
      <c r="B53" s="37" t="s">
        <v>24</v>
      </c>
      <c r="C53" s="155" t="s">
        <v>110</v>
      </c>
      <c r="D53" s="158">
        <v>1.03</v>
      </c>
      <c r="E53" s="159">
        <v>0.92</v>
      </c>
      <c r="F53" s="159">
        <v>0.73</v>
      </c>
      <c r="G53" s="159">
        <v>0.52</v>
      </c>
      <c r="H53" s="159">
        <v>0.34</v>
      </c>
      <c r="I53" s="159">
        <v>0.22</v>
      </c>
      <c r="J53" s="149">
        <v>0.75</v>
      </c>
    </row>
    <row r="54" spans="1:12">
      <c r="A54" s="171"/>
      <c r="B54" s="37" t="s">
        <v>21</v>
      </c>
      <c r="C54" s="156"/>
      <c r="D54" s="158"/>
      <c r="E54" s="159"/>
      <c r="F54" s="159"/>
      <c r="G54" s="159"/>
      <c r="H54" s="159"/>
      <c r="I54" s="159"/>
      <c r="J54" s="149"/>
    </row>
    <row r="55" spans="1:12">
      <c r="A55" s="171"/>
      <c r="B55" s="37" t="s">
        <v>22</v>
      </c>
      <c r="C55" s="156"/>
      <c r="D55" s="158"/>
      <c r="E55" s="159"/>
      <c r="F55" s="159"/>
      <c r="G55" s="159"/>
      <c r="H55" s="159"/>
      <c r="I55" s="159"/>
      <c r="J55" s="149"/>
    </row>
    <row r="56" spans="1:12">
      <c r="A56" s="172"/>
      <c r="B56" s="31" t="s">
        <v>23</v>
      </c>
      <c r="C56" s="157"/>
      <c r="D56" s="177"/>
      <c r="E56" s="160"/>
      <c r="F56" s="160"/>
      <c r="G56" s="160"/>
      <c r="H56" s="160"/>
      <c r="I56" s="160"/>
      <c r="J56" s="150"/>
    </row>
    <row r="57" spans="1:12"/>
    <row r="58" spans="1:12">
      <c r="A58" s="25" t="s">
        <v>8</v>
      </c>
      <c r="B58" s="39" t="s">
        <v>100</v>
      </c>
      <c r="C58" s="39" t="s">
        <v>28</v>
      </c>
      <c r="D58" s="36">
        <v>2013</v>
      </c>
      <c r="E58" s="36">
        <v>2014</v>
      </c>
      <c r="F58" s="36">
        <v>2015</v>
      </c>
      <c r="G58" s="36">
        <v>2016</v>
      </c>
      <c r="H58" s="36">
        <v>2017</v>
      </c>
      <c r="I58" s="36">
        <v>2018</v>
      </c>
      <c r="J58" s="109">
        <v>2019</v>
      </c>
    </row>
    <row r="59" spans="1:12">
      <c r="A59" s="170" t="s">
        <v>111</v>
      </c>
      <c r="B59" s="37" t="s">
        <v>24</v>
      </c>
      <c r="C59" s="161" t="s">
        <v>110</v>
      </c>
      <c r="D59" s="158">
        <v>1.2E-2</v>
      </c>
      <c r="E59" s="159">
        <v>2.5999999999999999E-2</v>
      </c>
      <c r="F59" s="159">
        <v>0</v>
      </c>
      <c r="G59" s="159">
        <v>1.0999999999999999E-2</v>
      </c>
      <c r="H59" s="159">
        <v>1.0999999999999999E-2</v>
      </c>
      <c r="I59" s="159">
        <v>0</v>
      </c>
      <c r="J59" s="151">
        <v>0.03</v>
      </c>
    </row>
    <row r="60" spans="1:12">
      <c r="A60" s="171"/>
      <c r="B60" s="37" t="s">
        <v>21</v>
      </c>
      <c r="C60" s="162"/>
      <c r="D60" s="158"/>
      <c r="E60" s="159"/>
      <c r="F60" s="159"/>
      <c r="G60" s="159"/>
      <c r="H60" s="159"/>
      <c r="I60" s="159"/>
      <c r="J60" s="151"/>
    </row>
    <row r="61" spans="1:12">
      <c r="A61" s="171"/>
      <c r="B61" s="37" t="s">
        <v>22</v>
      </c>
      <c r="C61" s="162"/>
      <c r="D61" s="158"/>
      <c r="E61" s="159"/>
      <c r="F61" s="159"/>
      <c r="G61" s="159"/>
      <c r="H61" s="159"/>
      <c r="I61" s="159"/>
      <c r="J61" s="151"/>
    </row>
    <row r="62" spans="1:12">
      <c r="A62" s="172"/>
      <c r="B62" s="31" t="s">
        <v>23</v>
      </c>
      <c r="C62" s="163"/>
      <c r="D62" s="177"/>
      <c r="E62" s="160"/>
      <c r="F62" s="160"/>
      <c r="G62" s="160"/>
      <c r="H62" s="160"/>
      <c r="I62" s="160"/>
      <c r="J62" s="152"/>
    </row>
    <row r="63" spans="1:12"/>
    <row r="64" spans="1:12">
      <c r="A64" s="42" t="s">
        <v>112</v>
      </c>
      <c r="B64" s="43"/>
      <c r="C64" s="43"/>
      <c r="D64" s="44">
        <v>2013</v>
      </c>
      <c r="E64" s="44">
        <v>2014</v>
      </c>
      <c r="F64" s="44">
        <v>2015</v>
      </c>
      <c r="G64" s="44">
        <v>2016</v>
      </c>
      <c r="H64" s="44">
        <v>2017</v>
      </c>
      <c r="I64" s="44">
        <v>2018</v>
      </c>
      <c r="J64" s="44">
        <v>2019</v>
      </c>
      <c r="K64" s="2"/>
      <c r="L64"/>
    </row>
    <row r="65" spans="1:10">
      <c r="A65" s="153" t="s">
        <v>20</v>
      </c>
      <c r="B65" s="154"/>
      <c r="C65" s="105" t="s">
        <v>79</v>
      </c>
      <c r="D65" s="81">
        <v>386340.2</v>
      </c>
      <c r="E65" s="107">
        <v>877346.54300000006</v>
      </c>
      <c r="F65" s="107">
        <v>768973.2</v>
      </c>
      <c r="G65" s="107">
        <v>1015420</v>
      </c>
      <c r="H65" s="107">
        <v>926609.71000000008</v>
      </c>
      <c r="I65" s="107">
        <v>929476.2</v>
      </c>
      <c r="J65" s="138">
        <v>1006608.7</v>
      </c>
    </row>
    <row r="66" spans="1:10" ht="15" customHeight="1">
      <c r="A66" s="153" t="s">
        <v>24</v>
      </c>
      <c r="B66" s="154"/>
      <c r="C66" s="105" t="s">
        <v>79</v>
      </c>
      <c r="D66" s="81">
        <v>215893.5</v>
      </c>
      <c r="E66" s="107">
        <v>156150.6</v>
      </c>
      <c r="F66" s="107">
        <v>167615.9</v>
      </c>
      <c r="G66" s="107">
        <v>335419.5</v>
      </c>
      <c r="H66" s="107">
        <v>361073</v>
      </c>
      <c r="I66" s="107">
        <v>383604.2</v>
      </c>
      <c r="J66" s="138">
        <v>389334.6</v>
      </c>
    </row>
    <row r="67" spans="1:10">
      <c r="A67" s="153" t="s">
        <v>21</v>
      </c>
      <c r="B67" s="154"/>
      <c r="C67" s="105" t="s">
        <v>79</v>
      </c>
      <c r="D67" s="81" t="s">
        <v>37</v>
      </c>
      <c r="E67" s="107">
        <v>583807.80000000005</v>
      </c>
      <c r="F67" s="107">
        <v>456279.2</v>
      </c>
      <c r="G67" s="107">
        <v>514464.2</v>
      </c>
      <c r="H67" s="107">
        <v>460164.8</v>
      </c>
      <c r="I67" s="107">
        <v>403350.5</v>
      </c>
      <c r="J67" s="138">
        <v>464613.1</v>
      </c>
    </row>
    <row r="68" spans="1:10">
      <c r="A68" s="153" t="s">
        <v>22</v>
      </c>
      <c r="B68" s="154"/>
      <c r="C68" s="105" t="s">
        <v>79</v>
      </c>
      <c r="D68" s="81">
        <v>118050</v>
      </c>
      <c r="E68" s="107">
        <v>103830.643</v>
      </c>
      <c r="F68" s="107">
        <v>108389.1</v>
      </c>
      <c r="G68" s="107">
        <v>96307.8</v>
      </c>
      <c r="H68" s="107">
        <v>53360.11</v>
      </c>
      <c r="I68" s="107">
        <v>114575.5</v>
      </c>
      <c r="J68" s="138">
        <v>106838.6</v>
      </c>
    </row>
    <row r="69" spans="1:10">
      <c r="A69" s="164" t="s">
        <v>23</v>
      </c>
      <c r="B69" s="165"/>
      <c r="C69" s="106" t="s">
        <v>79</v>
      </c>
      <c r="D69" s="82">
        <v>52396.7</v>
      </c>
      <c r="E69" s="67">
        <v>33557.5</v>
      </c>
      <c r="F69" s="67">
        <v>36689</v>
      </c>
      <c r="G69" s="67">
        <v>69228.5</v>
      </c>
      <c r="H69" s="67">
        <v>52011.8</v>
      </c>
      <c r="I69" s="67">
        <v>27946</v>
      </c>
      <c r="J69" s="139">
        <v>45822.400000000001</v>
      </c>
    </row>
    <row r="70" spans="1:10">
      <c r="I70" s="6"/>
      <c r="J70" s="6"/>
    </row>
    <row r="71" spans="1:10">
      <c r="A71" s="84" t="s">
        <v>113</v>
      </c>
    </row>
    <row r="72" spans="1:10"/>
    <row r="73" spans="1:10"/>
    <row r="74" spans="1:10"/>
    <row r="75" spans="1:10"/>
    <row r="76" spans="1:10"/>
    <row r="77" spans="1:10"/>
    <row r="78" spans="1:10"/>
    <row r="79" spans="1:10"/>
    <row r="80" spans="1:1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 hidden="1"/>
    <row r="142" hidden="1"/>
    <row r="143" hidden="1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</sheetData>
  <mergeCells count="55">
    <mergeCell ref="I59:I62"/>
    <mergeCell ref="A53:A56"/>
    <mergeCell ref="C53:C56"/>
    <mergeCell ref="D53:D56"/>
    <mergeCell ref="E53:E56"/>
    <mergeCell ref="F53:F56"/>
    <mergeCell ref="D59:D62"/>
    <mergeCell ref="E59:E62"/>
    <mergeCell ref="F59:F62"/>
    <mergeCell ref="G59:G62"/>
    <mergeCell ref="H59:H62"/>
    <mergeCell ref="C27:C30"/>
    <mergeCell ref="C31:C34"/>
    <mergeCell ref="A38:A41"/>
    <mergeCell ref="C38:C41"/>
    <mergeCell ref="A42:A45"/>
    <mergeCell ref="C42:C4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67:B67"/>
    <mergeCell ref="A68:B68"/>
    <mergeCell ref="A69:B69"/>
    <mergeCell ref="A16:B16"/>
    <mergeCell ref="A17:B17"/>
    <mergeCell ref="A18:B18"/>
    <mergeCell ref="A19:B19"/>
    <mergeCell ref="A20:B20"/>
    <mergeCell ref="A27:A30"/>
    <mergeCell ref="A31:A34"/>
    <mergeCell ref="A49:A52"/>
    <mergeCell ref="A59:A62"/>
    <mergeCell ref="J49:J52"/>
    <mergeCell ref="J53:J56"/>
    <mergeCell ref="J59:J62"/>
    <mergeCell ref="A65:B65"/>
    <mergeCell ref="A66:B66"/>
    <mergeCell ref="C49:C52"/>
    <mergeCell ref="D49:D52"/>
    <mergeCell ref="E49:E52"/>
    <mergeCell ref="F49:F52"/>
    <mergeCell ref="G49:G52"/>
    <mergeCell ref="H49:H52"/>
    <mergeCell ref="I49:I52"/>
    <mergeCell ref="G53:G56"/>
    <mergeCell ref="H53:H56"/>
    <mergeCell ref="I53:I56"/>
    <mergeCell ref="C59:C62"/>
  </mergeCells>
  <pageMargins left="0.25" right="0.25" top="0.75" bottom="0.75" header="0.3" footer="0.3"/>
  <pageSetup paperSize="9" scale="56" fitToHeight="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L95"/>
  <sheetViews>
    <sheetView showGridLines="0" tabSelected="1" zoomScale="85" zoomScaleNormal="85" zoomScaleSheetLayoutView="100" workbookViewId="0">
      <selection activeCell="J46" sqref="J46"/>
    </sheetView>
  </sheetViews>
  <sheetFormatPr defaultRowHeight="14.4"/>
  <cols>
    <col min="1" max="1" width="62.88671875" style="4" customWidth="1"/>
    <col min="2" max="2" width="16.44140625" style="4" bestFit="1" customWidth="1"/>
    <col min="3" max="3" width="9.109375" style="4" customWidth="1"/>
    <col min="4" max="4" width="8.88671875" style="4" customWidth="1"/>
    <col min="5" max="5" width="9" style="4" customWidth="1"/>
    <col min="6" max="6" width="8.88671875" style="4" customWidth="1"/>
    <col min="7" max="7" width="9.109375" style="4" customWidth="1"/>
    <col min="8" max="9" width="8.88671875" style="4" customWidth="1"/>
  </cols>
  <sheetData>
    <row r="1" spans="1:12">
      <c r="J1" s="6"/>
      <c r="K1" s="6"/>
      <c r="L1" s="6"/>
    </row>
    <row r="2" spans="1:12" ht="15.6">
      <c r="A2" s="70" t="s">
        <v>114</v>
      </c>
      <c r="B2" s="24"/>
      <c r="C2" s="24"/>
      <c r="D2" s="24"/>
      <c r="E2" s="24"/>
      <c r="F2" s="24"/>
      <c r="G2" s="36"/>
      <c r="H2" s="36"/>
      <c r="I2" s="109"/>
    </row>
    <row r="5" spans="1:12">
      <c r="A5" s="25" t="s">
        <v>116</v>
      </c>
      <c r="B5" s="25"/>
      <c r="C5" s="25"/>
      <c r="D5" s="25"/>
      <c r="E5" s="25"/>
      <c r="F5" s="25"/>
      <c r="G5" s="25"/>
      <c r="H5" s="25"/>
      <c r="I5" s="25"/>
    </row>
    <row r="7" spans="1:12">
      <c r="A7" s="25" t="s">
        <v>117</v>
      </c>
      <c r="B7" s="39" t="s">
        <v>28</v>
      </c>
      <c r="C7" s="36">
        <v>2013</v>
      </c>
      <c r="D7" s="36">
        <v>2014</v>
      </c>
      <c r="E7" s="36">
        <v>2015</v>
      </c>
      <c r="F7" s="36">
        <v>2016</v>
      </c>
      <c r="G7" s="36">
        <v>2017</v>
      </c>
      <c r="H7" s="36" t="s">
        <v>9</v>
      </c>
      <c r="I7" s="109">
        <v>2019</v>
      </c>
    </row>
    <row r="8" spans="1:12">
      <c r="A8" s="27" t="s">
        <v>115</v>
      </c>
      <c r="B8" s="30" t="s">
        <v>78</v>
      </c>
      <c r="C8" s="85">
        <v>8</v>
      </c>
      <c r="D8" s="85">
        <v>8</v>
      </c>
      <c r="E8" s="85">
        <v>8</v>
      </c>
      <c r="F8" s="85">
        <v>8</v>
      </c>
      <c r="G8" s="85">
        <v>10</v>
      </c>
      <c r="H8" s="85">
        <v>10</v>
      </c>
      <c r="I8" s="140">
        <v>10</v>
      </c>
    </row>
    <row r="9" spans="1:12">
      <c r="A9" s="27" t="s">
        <v>119</v>
      </c>
      <c r="B9" s="30" t="s">
        <v>78</v>
      </c>
      <c r="C9" s="85">
        <v>3</v>
      </c>
      <c r="D9" s="85">
        <v>3</v>
      </c>
      <c r="E9" s="85">
        <v>3</v>
      </c>
      <c r="F9" s="85">
        <v>3</v>
      </c>
      <c r="G9" s="85">
        <v>5</v>
      </c>
      <c r="H9" s="85">
        <v>7</v>
      </c>
      <c r="I9" s="140">
        <v>7</v>
      </c>
    </row>
    <row r="10" spans="1:12">
      <c r="A10" s="27" t="s">
        <v>122</v>
      </c>
      <c r="B10" s="30" t="s">
        <v>0</v>
      </c>
      <c r="C10" s="90">
        <f t="shared" ref="C10:G10" si="0">C9/C8</f>
        <v>0.375</v>
      </c>
      <c r="D10" s="90">
        <f t="shared" si="0"/>
        <v>0.375</v>
      </c>
      <c r="E10" s="90">
        <f t="shared" si="0"/>
        <v>0.375</v>
      </c>
      <c r="F10" s="90">
        <f t="shared" si="0"/>
        <v>0.375</v>
      </c>
      <c r="G10" s="90">
        <f t="shared" si="0"/>
        <v>0.5</v>
      </c>
      <c r="H10" s="90">
        <f>H9/H8</f>
        <v>0.7</v>
      </c>
      <c r="I10" s="141">
        <f>I9/I8</f>
        <v>0.7</v>
      </c>
    </row>
    <row r="11" spans="1:12">
      <c r="A11" s="27" t="s">
        <v>120</v>
      </c>
      <c r="B11" s="30" t="s">
        <v>118</v>
      </c>
      <c r="C11" s="85" t="s">
        <v>145</v>
      </c>
      <c r="D11" s="85" t="s">
        <v>145</v>
      </c>
      <c r="E11" s="85" t="s">
        <v>145</v>
      </c>
      <c r="F11" s="85" t="s">
        <v>145</v>
      </c>
      <c r="G11" s="85" t="s">
        <v>145</v>
      </c>
      <c r="H11" s="85" t="s">
        <v>145</v>
      </c>
      <c r="I11" s="140" t="s">
        <v>167</v>
      </c>
    </row>
    <row r="12" spans="1:12">
      <c r="A12" s="27" t="s">
        <v>121</v>
      </c>
      <c r="B12" s="30" t="s">
        <v>78</v>
      </c>
      <c r="C12" s="85">
        <v>4</v>
      </c>
      <c r="D12" s="85">
        <v>2</v>
      </c>
      <c r="E12" s="85">
        <v>2</v>
      </c>
      <c r="F12" s="85">
        <v>3</v>
      </c>
      <c r="G12" s="85">
        <v>2</v>
      </c>
      <c r="H12" s="85">
        <v>1</v>
      </c>
      <c r="I12" s="85">
        <v>1</v>
      </c>
    </row>
    <row r="13" spans="1:12">
      <c r="A13" s="27" t="s">
        <v>123</v>
      </c>
      <c r="B13" s="30" t="s">
        <v>0</v>
      </c>
      <c r="C13" s="90">
        <f t="shared" ref="C13:G13" si="1">C12/C8</f>
        <v>0.5</v>
      </c>
      <c r="D13" s="90">
        <f t="shared" si="1"/>
        <v>0.25</v>
      </c>
      <c r="E13" s="90">
        <f t="shared" si="1"/>
        <v>0.25</v>
      </c>
      <c r="F13" s="90">
        <f t="shared" si="1"/>
        <v>0.375</v>
      </c>
      <c r="G13" s="90">
        <f t="shared" si="1"/>
        <v>0.2</v>
      </c>
      <c r="H13" s="90">
        <f>H12/H8</f>
        <v>0.1</v>
      </c>
      <c r="I13" s="142">
        <f>I12/I8</f>
        <v>0.1</v>
      </c>
    </row>
    <row r="14" spans="1:12">
      <c r="A14" s="27" t="s">
        <v>124</v>
      </c>
      <c r="B14" s="30" t="s">
        <v>78</v>
      </c>
      <c r="C14" s="85">
        <v>4</v>
      </c>
      <c r="D14" s="85">
        <v>3</v>
      </c>
      <c r="E14" s="85">
        <v>3</v>
      </c>
      <c r="F14" s="85">
        <v>2</v>
      </c>
      <c r="G14" s="85">
        <v>3</v>
      </c>
      <c r="H14" s="85">
        <v>2</v>
      </c>
      <c r="I14" s="85">
        <v>2</v>
      </c>
    </row>
    <row r="15" spans="1:12">
      <c r="A15" s="27" t="s">
        <v>125</v>
      </c>
      <c r="B15" s="30" t="s">
        <v>0</v>
      </c>
      <c r="C15" s="90">
        <f t="shared" ref="C15:G15" si="2">C14/C8</f>
        <v>0.5</v>
      </c>
      <c r="D15" s="90">
        <f t="shared" si="2"/>
        <v>0.375</v>
      </c>
      <c r="E15" s="90">
        <f t="shared" si="2"/>
        <v>0.375</v>
      </c>
      <c r="F15" s="90">
        <f t="shared" si="2"/>
        <v>0.25</v>
      </c>
      <c r="G15" s="90">
        <f t="shared" si="2"/>
        <v>0.3</v>
      </c>
      <c r="H15" s="90">
        <f>H14/H8</f>
        <v>0.2</v>
      </c>
      <c r="I15" s="142">
        <f>I14/I8</f>
        <v>0.2</v>
      </c>
    </row>
    <row r="16" spans="1:12">
      <c r="A16" s="27" t="s">
        <v>126</v>
      </c>
      <c r="B16" s="30" t="s">
        <v>78</v>
      </c>
      <c r="C16" s="85">
        <v>0</v>
      </c>
      <c r="D16" s="85">
        <v>0</v>
      </c>
      <c r="E16" s="85">
        <v>0</v>
      </c>
      <c r="F16" s="85">
        <v>0</v>
      </c>
      <c r="G16" s="85">
        <v>1</v>
      </c>
      <c r="H16" s="85">
        <v>2</v>
      </c>
      <c r="I16" s="85">
        <v>2</v>
      </c>
    </row>
    <row r="17" spans="1:9">
      <c r="A17" s="27" t="s">
        <v>127</v>
      </c>
      <c r="B17" s="30" t="s">
        <v>129</v>
      </c>
      <c r="C17" s="85">
        <v>13</v>
      </c>
      <c r="D17" s="85">
        <v>9</v>
      </c>
      <c r="E17" s="85">
        <v>9</v>
      </c>
      <c r="F17" s="85">
        <v>10</v>
      </c>
      <c r="G17" s="85">
        <v>12</v>
      </c>
      <c r="H17" s="85">
        <v>9</v>
      </c>
      <c r="I17" s="143">
        <v>8</v>
      </c>
    </row>
    <row r="18" spans="1:9">
      <c r="A18" s="28" t="s">
        <v>128</v>
      </c>
      <c r="B18" s="31" t="s">
        <v>129</v>
      </c>
      <c r="C18" s="123">
        <v>12</v>
      </c>
      <c r="D18" s="123">
        <v>8</v>
      </c>
      <c r="E18" s="123">
        <v>8</v>
      </c>
      <c r="F18" s="123">
        <v>10</v>
      </c>
      <c r="G18" s="123">
        <v>12</v>
      </c>
      <c r="H18" s="123">
        <v>8</v>
      </c>
      <c r="I18" s="144">
        <v>8</v>
      </c>
    </row>
    <row r="19" spans="1:9">
      <c r="A19" s="86"/>
      <c r="B19" s="87"/>
      <c r="C19" s="88"/>
      <c r="D19" s="88"/>
      <c r="E19" s="88"/>
      <c r="F19" s="88"/>
      <c r="G19" s="88"/>
      <c r="H19" s="88"/>
      <c r="I19" s="88"/>
    </row>
    <row r="20" spans="1:9">
      <c r="A20" s="25" t="s">
        <v>130</v>
      </c>
      <c r="B20" s="39" t="s">
        <v>28</v>
      </c>
      <c r="C20" s="36">
        <v>2013</v>
      </c>
      <c r="D20" s="36">
        <v>2014</v>
      </c>
      <c r="E20" s="36">
        <v>2015</v>
      </c>
      <c r="F20" s="36">
        <v>2016</v>
      </c>
      <c r="G20" s="36">
        <v>2017</v>
      </c>
      <c r="H20" s="36" t="s">
        <v>9</v>
      </c>
      <c r="I20" s="109">
        <v>2019</v>
      </c>
    </row>
    <row r="21" spans="1:9">
      <c r="A21" s="27" t="s">
        <v>131</v>
      </c>
      <c r="B21" s="30" t="s">
        <v>78</v>
      </c>
      <c r="C21" s="85">
        <v>3</v>
      </c>
      <c r="D21" s="85">
        <v>1</v>
      </c>
      <c r="E21" s="85">
        <v>0</v>
      </c>
      <c r="F21" s="85">
        <v>1</v>
      </c>
      <c r="G21" s="85" t="s">
        <v>10</v>
      </c>
      <c r="H21" s="85">
        <v>4</v>
      </c>
      <c r="I21" s="85">
        <v>0</v>
      </c>
    </row>
    <row r="22" spans="1:9">
      <c r="A22" s="27" t="s">
        <v>132</v>
      </c>
      <c r="B22" s="30" t="s">
        <v>78</v>
      </c>
      <c r="C22" s="85">
        <v>3</v>
      </c>
      <c r="D22" s="85">
        <v>5</v>
      </c>
      <c r="E22" s="85">
        <v>4</v>
      </c>
      <c r="F22" s="85">
        <v>3</v>
      </c>
      <c r="G22" s="85">
        <v>2</v>
      </c>
      <c r="H22" s="85">
        <v>2</v>
      </c>
      <c r="I22" s="85">
        <v>5</v>
      </c>
    </row>
    <row r="23" spans="1:9">
      <c r="A23" s="28" t="s">
        <v>133</v>
      </c>
      <c r="B23" s="31" t="s">
        <v>78</v>
      </c>
      <c r="C23" s="89">
        <v>2</v>
      </c>
      <c r="D23" s="89">
        <v>2</v>
      </c>
      <c r="E23" s="89">
        <v>4</v>
      </c>
      <c r="F23" s="89">
        <v>4</v>
      </c>
      <c r="G23" s="89">
        <v>5</v>
      </c>
      <c r="H23" s="89">
        <v>5</v>
      </c>
      <c r="I23" s="89">
        <v>5</v>
      </c>
    </row>
    <row r="24" spans="1:9">
      <c r="A24" s="86"/>
      <c r="B24" s="87"/>
      <c r="C24" s="88"/>
      <c r="D24" s="88"/>
      <c r="E24" s="88"/>
      <c r="F24" s="88"/>
      <c r="G24" s="88"/>
      <c r="H24" s="88"/>
      <c r="I24" s="88"/>
    </row>
    <row r="25" spans="1:9">
      <c r="A25" s="25" t="s">
        <v>134</v>
      </c>
      <c r="B25" s="39" t="s">
        <v>28</v>
      </c>
      <c r="C25" s="36">
        <v>2013</v>
      </c>
      <c r="D25" s="36">
        <v>2014</v>
      </c>
      <c r="E25" s="36">
        <v>2015</v>
      </c>
      <c r="F25" s="36">
        <v>2016</v>
      </c>
      <c r="G25" s="36">
        <v>2017</v>
      </c>
      <c r="H25" s="36" t="s">
        <v>9</v>
      </c>
      <c r="I25" s="109">
        <v>2019</v>
      </c>
    </row>
    <row r="26" spans="1:9">
      <c r="A26" s="27" t="s">
        <v>135</v>
      </c>
      <c r="B26" s="30" t="s">
        <v>78</v>
      </c>
      <c r="C26" s="85">
        <v>1</v>
      </c>
      <c r="D26" s="85">
        <v>1</v>
      </c>
      <c r="E26" s="85">
        <v>1</v>
      </c>
      <c r="F26" s="85">
        <v>1</v>
      </c>
      <c r="G26" s="85">
        <v>1</v>
      </c>
      <c r="H26" s="85">
        <v>1</v>
      </c>
      <c r="I26" s="85">
        <v>1</v>
      </c>
    </row>
    <row r="27" spans="1:9">
      <c r="A27" s="27" t="s">
        <v>136</v>
      </c>
      <c r="B27" s="30" t="s">
        <v>78</v>
      </c>
      <c r="C27" s="85">
        <v>7</v>
      </c>
      <c r="D27" s="85">
        <v>5</v>
      </c>
      <c r="E27" s="85">
        <v>5</v>
      </c>
      <c r="F27" s="85">
        <v>5</v>
      </c>
      <c r="G27" s="85">
        <v>6</v>
      </c>
      <c r="H27" s="85">
        <v>6</v>
      </c>
      <c r="I27" s="85">
        <v>6</v>
      </c>
    </row>
    <row r="28" spans="1:9">
      <c r="A28" s="28" t="s">
        <v>137</v>
      </c>
      <c r="B28" s="31" t="s">
        <v>78</v>
      </c>
      <c r="C28" s="89">
        <v>0</v>
      </c>
      <c r="D28" s="89">
        <v>2</v>
      </c>
      <c r="E28" s="89">
        <v>2</v>
      </c>
      <c r="F28" s="89">
        <v>2</v>
      </c>
      <c r="G28" s="89">
        <v>3</v>
      </c>
      <c r="H28" s="89">
        <v>3</v>
      </c>
      <c r="I28" s="89">
        <v>3</v>
      </c>
    </row>
    <row r="29" spans="1:9">
      <c r="A29" s="86"/>
      <c r="B29" s="87"/>
      <c r="C29" s="88"/>
      <c r="D29" s="88"/>
      <c r="E29" s="88"/>
      <c r="F29" s="88"/>
      <c r="G29" s="88"/>
      <c r="H29" s="88"/>
      <c r="I29" s="88"/>
    </row>
    <row r="30" spans="1:9">
      <c r="A30" s="25" t="s">
        <v>138</v>
      </c>
      <c r="B30" s="39" t="s">
        <v>28</v>
      </c>
      <c r="C30" s="36">
        <v>2013</v>
      </c>
      <c r="D30" s="36">
        <v>2014</v>
      </c>
      <c r="E30" s="36">
        <v>2015</v>
      </c>
      <c r="F30" s="36">
        <v>2016</v>
      </c>
      <c r="G30" s="36">
        <v>2017</v>
      </c>
      <c r="H30" s="36" t="s">
        <v>9</v>
      </c>
      <c r="I30" s="109">
        <v>2019</v>
      </c>
    </row>
    <row r="31" spans="1:9">
      <c r="A31" s="27" t="s">
        <v>139</v>
      </c>
      <c r="B31" s="30" t="s">
        <v>0</v>
      </c>
      <c r="C31" s="90">
        <v>0.12</v>
      </c>
      <c r="D31" s="90">
        <v>0.12</v>
      </c>
      <c r="E31" s="90">
        <v>0.12</v>
      </c>
      <c r="F31" s="90">
        <v>0.125</v>
      </c>
      <c r="G31" s="90">
        <v>0.1</v>
      </c>
      <c r="H31" s="90">
        <v>0.1</v>
      </c>
      <c r="I31" s="90">
        <v>0.1</v>
      </c>
    </row>
    <row r="32" spans="1:9">
      <c r="A32" s="27" t="s">
        <v>140</v>
      </c>
      <c r="B32" s="30" t="s">
        <v>0</v>
      </c>
      <c r="C32" s="90">
        <v>0.25</v>
      </c>
      <c r="D32" s="90">
        <v>0.25</v>
      </c>
      <c r="E32" s="90">
        <v>0.25</v>
      </c>
      <c r="F32" s="90">
        <v>0.125</v>
      </c>
      <c r="G32" s="90">
        <v>0.2</v>
      </c>
      <c r="H32" s="90">
        <v>0.2</v>
      </c>
      <c r="I32" s="90">
        <v>0.2</v>
      </c>
    </row>
    <row r="33" spans="1:9">
      <c r="A33" s="27" t="s">
        <v>141</v>
      </c>
      <c r="B33" s="30" t="s">
        <v>0</v>
      </c>
      <c r="C33" s="90">
        <v>0.25</v>
      </c>
      <c r="D33" s="90">
        <v>0.25</v>
      </c>
      <c r="E33" s="90">
        <v>0.25</v>
      </c>
      <c r="F33" s="90">
        <v>0.25</v>
      </c>
      <c r="G33" s="90">
        <v>0.3</v>
      </c>
      <c r="H33" s="90">
        <v>0.2</v>
      </c>
      <c r="I33" s="90">
        <v>0.2</v>
      </c>
    </row>
    <row r="34" spans="1:9">
      <c r="A34" s="28" t="s">
        <v>142</v>
      </c>
      <c r="B34" s="31" t="s">
        <v>0</v>
      </c>
      <c r="C34" s="91">
        <v>0.38</v>
      </c>
      <c r="D34" s="92">
        <v>0.38</v>
      </c>
      <c r="E34" s="92">
        <v>0.38</v>
      </c>
      <c r="F34" s="92">
        <v>0.5</v>
      </c>
      <c r="G34" s="92">
        <v>0.4</v>
      </c>
      <c r="H34" s="92">
        <v>0.5</v>
      </c>
      <c r="I34" s="92">
        <v>0.5</v>
      </c>
    </row>
    <row r="36" spans="1:9">
      <c r="A36" s="25" t="s">
        <v>143</v>
      </c>
      <c r="B36" s="25"/>
      <c r="C36" s="25"/>
      <c r="D36" s="25"/>
      <c r="E36" s="25"/>
      <c r="F36" s="25"/>
      <c r="G36" s="25"/>
      <c r="H36" s="25"/>
      <c r="I36" s="25"/>
    </row>
    <row r="38" spans="1:9">
      <c r="A38" s="25" t="s">
        <v>144</v>
      </c>
      <c r="B38" s="39" t="s">
        <v>28</v>
      </c>
      <c r="C38" s="36">
        <v>2013</v>
      </c>
      <c r="D38" s="36">
        <v>2014</v>
      </c>
      <c r="E38" s="36">
        <v>2015</v>
      </c>
      <c r="F38" s="36">
        <v>2016</v>
      </c>
      <c r="G38" s="36">
        <v>2017</v>
      </c>
      <c r="H38" s="36" t="s">
        <v>9</v>
      </c>
      <c r="I38" s="109">
        <v>2019</v>
      </c>
    </row>
    <row r="39" spans="1:9">
      <c r="A39" s="27" t="s">
        <v>115</v>
      </c>
      <c r="B39" s="30" t="s">
        <v>78</v>
      </c>
      <c r="C39" s="85">
        <v>3</v>
      </c>
      <c r="D39" s="85">
        <v>3</v>
      </c>
      <c r="E39" s="85">
        <v>3</v>
      </c>
      <c r="F39" s="85">
        <v>3</v>
      </c>
      <c r="G39" s="85">
        <v>4</v>
      </c>
      <c r="H39" s="85">
        <v>4</v>
      </c>
      <c r="I39" s="85">
        <v>4</v>
      </c>
    </row>
    <row r="40" spans="1:9">
      <c r="A40" s="27" t="s">
        <v>119</v>
      </c>
      <c r="B40" s="30" t="s">
        <v>78</v>
      </c>
      <c r="C40" s="85">
        <v>3</v>
      </c>
      <c r="D40" s="85">
        <v>3</v>
      </c>
      <c r="E40" s="85">
        <v>3</v>
      </c>
      <c r="F40" s="85">
        <v>3</v>
      </c>
      <c r="G40" s="85">
        <v>4</v>
      </c>
      <c r="H40" s="85">
        <v>4</v>
      </c>
      <c r="I40" s="85">
        <v>4</v>
      </c>
    </row>
    <row r="41" spans="1:9">
      <c r="A41" s="27" t="s">
        <v>146</v>
      </c>
      <c r="B41" s="30" t="s">
        <v>0</v>
      </c>
      <c r="C41" s="90">
        <v>1</v>
      </c>
      <c r="D41" s="90">
        <v>1</v>
      </c>
      <c r="E41" s="90">
        <v>1</v>
      </c>
      <c r="F41" s="90">
        <v>1</v>
      </c>
      <c r="G41" s="90">
        <v>1</v>
      </c>
      <c r="H41" s="90">
        <v>1</v>
      </c>
      <c r="I41" s="85">
        <v>100</v>
      </c>
    </row>
    <row r="42" spans="1:9">
      <c r="A42" s="27" t="s">
        <v>147</v>
      </c>
      <c r="B42" s="30" t="s">
        <v>118</v>
      </c>
      <c r="C42" s="85" t="s">
        <v>145</v>
      </c>
      <c r="D42" s="85" t="s">
        <v>145</v>
      </c>
      <c r="E42" s="85" t="s">
        <v>145</v>
      </c>
      <c r="F42" s="85" t="s">
        <v>145</v>
      </c>
      <c r="G42" s="85" t="s">
        <v>145</v>
      </c>
      <c r="H42" s="85" t="s">
        <v>145</v>
      </c>
      <c r="I42" s="85" t="s">
        <v>145</v>
      </c>
    </row>
    <row r="43" spans="1:9">
      <c r="A43" s="28" t="s">
        <v>148</v>
      </c>
      <c r="B43" s="31" t="s">
        <v>129</v>
      </c>
      <c r="C43" s="89">
        <v>4</v>
      </c>
      <c r="D43" s="89">
        <v>7</v>
      </c>
      <c r="E43" s="89">
        <v>4</v>
      </c>
      <c r="F43" s="89">
        <v>4</v>
      </c>
      <c r="G43" s="89">
        <v>5</v>
      </c>
      <c r="H43" s="89">
        <v>5</v>
      </c>
      <c r="I43" s="89">
        <v>5</v>
      </c>
    </row>
    <row r="45" spans="1:9">
      <c r="A45" s="25" t="s">
        <v>149</v>
      </c>
      <c r="B45" s="39" t="s">
        <v>28</v>
      </c>
      <c r="C45" s="36">
        <v>2013</v>
      </c>
      <c r="D45" s="36">
        <v>2014</v>
      </c>
      <c r="E45" s="36">
        <v>2015</v>
      </c>
      <c r="F45" s="36">
        <v>2016</v>
      </c>
      <c r="G45" s="36">
        <v>2017</v>
      </c>
      <c r="H45" s="36" t="s">
        <v>9</v>
      </c>
      <c r="I45" s="109">
        <v>2019</v>
      </c>
    </row>
    <row r="46" spans="1:9">
      <c r="A46" s="27" t="s">
        <v>115</v>
      </c>
      <c r="B46" s="30" t="s">
        <v>78</v>
      </c>
      <c r="C46" s="85" t="s">
        <v>1</v>
      </c>
      <c r="D46" s="85">
        <v>3</v>
      </c>
      <c r="E46" s="85">
        <v>3</v>
      </c>
      <c r="F46" s="85">
        <v>3</v>
      </c>
      <c r="G46" s="85">
        <v>3</v>
      </c>
      <c r="H46" s="85">
        <v>3</v>
      </c>
      <c r="I46" s="85">
        <v>3</v>
      </c>
    </row>
    <row r="47" spans="1:9">
      <c r="A47" s="27" t="s">
        <v>119</v>
      </c>
      <c r="B47" s="30" t="s">
        <v>78</v>
      </c>
      <c r="C47" s="85" t="s">
        <v>1</v>
      </c>
      <c r="D47" s="85">
        <v>0</v>
      </c>
      <c r="E47" s="85">
        <v>0</v>
      </c>
      <c r="F47" s="85">
        <v>0</v>
      </c>
      <c r="G47" s="85">
        <v>0</v>
      </c>
      <c r="H47" s="85">
        <v>1</v>
      </c>
      <c r="I47" s="85">
        <v>2</v>
      </c>
    </row>
    <row r="48" spans="1:9">
      <c r="A48" s="27" t="s">
        <v>146</v>
      </c>
      <c r="B48" s="30" t="s">
        <v>0</v>
      </c>
      <c r="C48" s="90" t="s">
        <v>1</v>
      </c>
      <c r="D48" s="90">
        <v>0</v>
      </c>
      <c r="E48" s="90">
        <v>0</v>
      </c>
      <c r="F48" s="90">
        <v>0</v>
      </c>
      <c r="G48" s="90">
        <v>0</v>
      </c>
      <c r="H48" s="90">
        <v>0.33333333333333331</v>
      </c>
      <c r="I48" s="90">
        <v>0.67</v>
      </c>
    </row>
    <row r="49" spans="1:9">
      <c r="A49" s="27" t="s">
        <v>147</v>
      </c>
      <c r="B49" s="30" t="s">
        <v>118</v>
      </c>
      <c r="C49" s="85" t="s">
        <v>1</v>
      </c>
      <c r="D49" s="85" t="s">
        <v>150</v>
      </c>
      <c r="E49" s="85" t="s">
        <v>150</v>
      </c>
      <c r="F49" s="85" t="s">
        <v>150</v>
      </c>
      <c r="G49" s="85" t="s">
        <v>150</v>
      </c>
      <c r="H49" s="85" t="s">
        <v>145</v>
      </c>
      <c r="I49" s="85" t="s">
        <v>145</v>
      </c>
    </row>
    <row r="50" spans="1:9">
      <c r="A50" s="28" t="s">
        <v>148</v>
      </c>
      <c r="B50" s="31" t="s">
        <v>129</v>
      </c>
      <c r="C50" s="89" t="s">
        <v>1</v>
      </c>
      <c r="D50" s="89">
        <v>2</v>
      </c>
      <c r="E50" s="89">
        <v>2</v>
      </c>
      <c r="F50" s="89">
        <v>4</v>
      </c>
      <c r="G50" s="89">
        <v>4</v>
      </c>
      <c r="H50" s="89">
        <v>4</v>
      </c>
      <c r="I50" s="89">
        <v>4</v>
      </c>
    </row>
    <row r="52" spans="1:9">
      <c r="A52" s="25" t="s">
        <v>151</v>
      </c>
      <c r="B52" s="39" t="s">
        <v>28</v>
      </c>
      <c r="C52" s="36">
        <v>2013</v>
      </c>
      <c r="D52" s="36">
        <v>2014</v>
      </c>
      <c r="E52" s="36">
        <v>2015</v>
      </c>
      <c r="F52" s="36">
        <v>2016</v>
      </c>
      <c r="G52" s="36">
        <v>2017</v>
      </c>
      <c r="H52" s="36" t="s">
        <v>9</v>
      </c>
      <c r="I52" s="109">
        <v>2019</v>
      </c>
    </row>
    <row r="53" spans="1:9">
      <c r="A53" s="27" t="s">
        <v>115</v>
      </c>
      <c r="B53" s="30" t="s">
        <v>78</v>
      </c>
      <c r="C53" s="85">
        <v>4</v>
      </c>
      <c r="D53" s="85">
        <v>3</v>
      </c>
      <c r="E53" s="85">
        <v>3</v>
      </c>
      <c r="F53" s="85">
        <v>3</v>
      </c>
      <c r="G53" s="85">
        <v>3</v>
      </c>
      <c r="H53" s="85">
        <v>3</v>
      </c>
      <c r="I53" s="85">
        <v>3</v>
      </c>
    </row>
    <row r="54" spans="1:9">
      <c r="A54" s="27" t="s">
        <v>119</v>
      </c>
      <c r="B54" s="30" t="s">
        <v>78</v>
      </c>
      <c r="C54" s="85">
        <v>2</v>
      </c>
      <c r="D54" s="85">
        <v>3</v>
      </c>
      <c r="E54" s="85">
        <v>3</v>
      </c>
      <c r="F54" s="85">
        <v>3</v>
      </c>
      <c r="G54" s="85">
        <v>3</v>
      </c>
      <c r="H54" s="85">
        <v>3</v>
      </c>
      <c r="I54" s="85">
        <v>3</v>
      </c>
    </row>
    <row r="55" spans="1:9">
      <c r="A55" s="27" t="s">
        <v>146</v>
      </c>
      <c r="B55" s="30" t="s">
        <v>0</v>
      </c>
      <c r="C55" s="90">
        <v>0.5</v>
      </c>
      <c r="D55" s="90">
        <v>1</v>
      </c>
      <c r="E55" s="90">
        <v>1</v>
      </c>
      <c r="F55" s="90">
        <v>1</v>
      </c>
      <c r="G55" s="90">
        <v>1</v>
      </c>
      <c r="H55" s="90">
        <v>1</v>
      </c>
      <c r="I55" s="90">
        <v>1</v>
      </c>
    </row>
    <row r="56" spans="1:9">
      <c r="A56" s="27" t="s">
        <v>147</v>
      </c>
      <c r="B56" s="30" t="s">
        <v>118</v>
      </c>
      <c r="C56" s="85" t="s">
        <v>145</v>
      </c>
      <c r="D56" s="85" t="s">
        <v>145</v>
      </c>
      <c r="E56" s="85" t="s">
        <v>145</v>
      </c>
      <c r="F56" s="85" t="s">
        <v>145</v>
      </c>
      <c r="G56" s="85" t="s">
        <v>145</v>
      </c>
      <c r="H56" s="85" t="s">
        <v>145</v>
      </c>
      <c r="I56" s="85" t="s">
        <v>145</v>
      </c>
    </row>
    <row r="57" spans="1:9">
      <c r="A57" s="28" t="s">
        <v>148</v>
      </c>
      <c r="B57" s="31" t="s">
        <v>129</v>
      </c>
      <c r="C57" s="89">
        <v>2</v>
      </c>
      <c r="D57" s="89">
        <v>4</v>
      </c>
      <c r="E57" s="89">
        <v>4</v>
      </c>
      <c r="F57" s="89">
        <v>4</v>
      </c>
      <c r="G57" s="89">
        <v>4</v>
      </c>
      <c r="H57" s="89">
        <v>4</v>
      </c>
      <c r="I57" s="89">
        <v>4</v>
      </c>
    </row>
    <row r="59" spans="1:9">
      <c r="A59" s="25" t="s">
        <v>152</v>
      </c>
      <c r="B59" s="39" t="s">
        <v>28</v>
      </c>
      <c r="C59" s="36">
        <v>2013</v>
      </c>
      <c r="D59" s="36">
        <v>2014</v>
      </c>
      <c r="E59" s="36">
        <v>2015</v>
      </c>
      <c r="F59" s="36">
        <v>2016</v>
      </c>
      <c r="G59" s="36">
        <v>2017</v>
      </c>
      <c r="H59" s="36" t="s">
        <v>9</v>
      </c>
      <c r="I59" s="109">
        <v>2019</v>
      </c>
    </row>
    <row r="60" spans="1:9">
      <c r="A60" s="27" t="s">
        <v>115</v>
      </c>
      <c r="B60" s="30" t="s">
        <v>78</v>
      </c>
      <c r="C60" s="85">
        <v>3</v>
      </c>
      <c r="D60" s="85">
        <v>3</v>
      </c>
      <c r="E60" s="85">
        <v>3</v>
      </c>
      <c r="F60" s="85">
        <v>3</v>
      </c>
      <c r="G60" s="85">
        <v>3</v>
      </c>
      <c r="H60" s="85">
        <v>4</v>
      </c>
      <c r="I60" s="85">
        <v>4</v>
      </c>
    </row>
    <row r="61" spans="1:9">
      <c r="A61" s="27" t="s">
        <v>119</v>
      </c>
      <c r="B61" s="30" t="s">
        <v>78</v>
      </c>
      <c r="C61" s="85">
        <v>1</v>
      </c>
      <c r="D61" s="85">
        <v>0</v>
      </c>
      <c r="E61" s="85">
        <v>0</v>
      </c>
      <c r="F61" s="85">
        <v>0</v>
      </c>
      <c r="G61" s="85">
        <v>0</v>
      </c>
      <c r="H61" s="85">
        <v>1</v>
      </c>
      <c r="I61" s="85">
        <v>1</v>
      </c>
    </row>
    <row r="62" spans="1:9">
      <c r="A62" s="27" t="s">
        <v>146</v>
      </c>
      <c r="B62" s="30" t="s">
        <v>0</v>
      </c>
      <c r="C62" s="90">
        <v>0.33333333333333331</v>
      </c>
      <c r="D62" s="90">
        <v>0</v>
      </c>
      <c r="E62" s="90">
        <v>0</v>
      </c>
      <c r="F62" s="90">
        <v>0</v>
      </c>
      <c r="G62" s="90">
        <v>0</v>
      </c>
      <c r="H62" s="90">
        <v>0.25</v>
      </c>
      <c r="I62" s="90">
        <v>0.25</v>
      </c>
    </row>
    <row r="63" spans="1:9">
      <c r="A63" s="27" t="s">
        <v>147</v>
      </c>
      <c r="B63" s="30" t="s">
        <v>118</v>
      </c>
      <c r="C63" s="85" t="s">
        <v>150</v>
      </c>
      <c r="D63" s="85" t="s">
        <v>150</v>
      </c>
      <c r="E63" s="85" t="s">
        <v>150</v>
      </c>
      <c r="F63" s="85" t="s">
        <v>150</v>
      </c>
      <c r="G63" s="85" t="s">
        <v>150</v>
      </c>
      <c r="H63" s="85" t="s">
        <v>150</v>
      </c>
      <c r="I63" s="85" t="s">
        <v>150</v>
      </c>
    </row>
    <row r="64" spans="1:9">
      <c r="A64" s="28" t="s">
        <v>148</v>
      </c>
      <c r="B64" s="31" t="s">
        <v>129</v>
      </c>
      <c r="C64" s="89">
        <v>1</v>
      </c>
      <c r="D64" s="89">
        <v>2</v>
      </c>
      <c r="E64" s="89">
        <v>2</v>
      </c>
      <c r="F64" s="89">
        <v>2</v>
      </c>
      <c r="G64" s="89">
        <v>3</v>
      </c>
      <c r="H64" s="89">
        <v>1</v>
      </c>
      <c r="I64" s="89">
        <v>2</v>
      </c>
    </row>
    <row r="66" spans="1:9">
      <c r="A66" s="25" t="s">
        <v>153</v>
      </c>
      <c r="B66" s="39" t="s">
        <v>28</v>
      </c>
      <c r="C66" s="36">
        <v>2013</v>
      </c>
      <c r="D66" s="36">
        <v>2014</v>
      </c>
      <c r="E66" s="36">
        <v>2015</v>
      </c>
      <c r="F66" s="36">
        <v>2016</v>
      </c>
      <c r="G66" s="36">
        <v>2017</v>
      </c>
      <c r="H66" s="36" t="s">
        <v>9</v>
      </c>
      <c r="I66" s="109">
        <v>2019</v>
      </c>
    </row>
    <row r="67" spans="1:9">
      <c r="A67" s="27" t="s">
        <v>115</v>
      </c>
      <c r="B67" s="30" t="s">
        <v>78</v>
      </c>
      <c r="C67" s="85">
        <v>3</v>
      </c>
      <c r="D67" s="85">
        <v>3</v>
      </c>
      <c r="E67" s="85">
        <v>3</v>
      </c>
      <c r="F67" s="85">
        <v>3</v>
      </c>
      <c r="G67" s="85">
        <v>3</v>
      </c>
      <c r="H67" s="85">
        <v>3</v>
      </c>
      <c r="I67" s="85">
        <v>3</v>
      </c>
    </row>
    <row r="68" spans="1:9">
      <c r="A68" s="27" t="s">
        <v>119</v>
      </c>
      <c r="B68" s="30" t="s">
        <v>78</v>
      </c>
      <c r="C68" s="85">
        <v>1</v>
      </c>
      <c r="D68" s="85">
        <v>1</v>
      </c>
      <c r="E68" s="85">
        <v>1</v>
      </c>
      <c r="F68" s="85">
        <v>1</v>
      </c>
      <c r="G68" s="85">
        <v>1</v>
      </c>
      <c r="H68" s="85">
        <v>1</v>
      </c>
      <c r="I68" s="85">
        <v>1</v>
      </c>
    </row>
    <row r="69" spans="1:9">
      <c r="A69" s="27" t="s">
        <v>146</v>
      </c>
      <c r="B69" s="30" t="s">
        <v>0</v>
      </c>
      <c r="C69" s="90" t="s">
        <v>11</v>
      </c>
      <c r="D69" s="90" t="s">
        <v>11</v>
      </c>
      <c r="E69" s="90" t="s">
        <v>11</v>
      </c>
      <c r="F69" s="90" t="s">
        <v>11</v>
      </c>
      <c r="G69" s="90" t="s">
        <v>11</v>
      </c>
      <c r="H69" s="90" t="s">
        <v>11</v>
      </c>
      <c r="I69" s="90">
        <v>0.33</v>
      </c>
    </row>
    <row r="70" spans="1:9">
      <c r="A70" s="27" t="s">
        <v>147</v>
      </c>
      <c r="B70" s="30" t="s">
        <v>118</v>
      </c>
      <c r="C70" s="85" t="s">
        <v>150</v>
      </c>
      <c r="D70" s="85" t="s">
        <v>150</v>
      </c>
      <c r="E70" s="85" t="s">
        <v>150</v>
      </c>
      <c r="F70" s="85" t="s">
        <v>150</v>
      </c>
      <c r="G70" s="85" t="s">
        <v>150</v>
      </c>
      <c r="H70" s="85" t="s">
        <v>150</v>
      </c>
      <c r="I70" s="85" t="s">
        <v>150</v>
      </c>
    </row>
    <row r="71" spans="1:9">
      <c r="A71" s="28" t="s">
        <v>148</v>
      </c>
      <c r="B71" s="31" t="s">
        <v>129</v>
      </c>
      <c r="C71" s="89">
        <v>3</v>
      </c>
      <c r="D71" s="89">
        <v>3</v>
      </c>
      <c r="E71" s="89">
        <v>3</v>
      </c>
      <c r="F71" s="89">
        <v>3</v>
      </c>
      <c r="G71" s="89">
        <v>3</v>
      </c>
      <c r="H71" s="89">
        <v>2</v>
      </c>
      <c r="I71" s="89">
        <v>3</v>
      </c>
    </row>
    <row r="72" spans="1:9">
      <c r="A72" s="108"/>
      <c r="B72" s="29"/>
      <c r="C72" s="145"/>
      <c r="D72" s="145"/>
      <c r="E72" s="145"/>
      <c r="F72" s="145"/>
      <c r="G72" s="145"/>
      <c r="H72" s="145"/>
      <c r="I72" s="145"/>
    </row>
    <row r="73" spans="1:9">
      <c r="A73" s="25" t="s">
        <v>169</v>
      </c>
      <c r="B73" s="39" t="s">
        <v>28</v>
      </c>
      <c r="C73" s="109">
        <v>2013</v>
      </c>
      <c r="D73" s="109">
        <v>2014</v>
      </c>
      <c r="E73" s="109">
        <v>2015</v>
      </c>
      <c r="F73" s="109">
        <v>2016</v>
      </c>
      <c r="G73" s="109">
        <v>2017</v>
      </c>
      <c r="H73" s="109" t="s">
        <v>9</v>
      </c>
      <c r="I73" s="109" t="s">
        <v>168</v>
      </c>
    </row>
    <row r="74" spans="1:9">
      <c r="A74" s="27" t="s">
        <v>115</v>
      </c>
      <c r="B74" s="30" t="s">
        <v>78</v>
      </c>
      <c r="C74" s="85" t="s">
        <v>1</v>
      </c>
      <c r="D74" s="85" t="s">
        <v>1</v>
      </c>
      <c r="E74" s="85" t="s">
        <v>1</v>
      </c>
      <c r="F74" s="85" t="s">
        <v>1</v>
      </c>
      <c r="G74" s="85" t="s">
        <v>1</v>
      </c>
      <c r="H74" s="85" t="s">
        <v>1</v>
      </c>
      <c r="I74" s="85">
        <v>3</v>
      </c>
    </row>
    <row r="75" spans="1:9">
      <c r="A75" s="27" t="s">
        <v>119</v>
      </c>
      <c r="B75" s="30" t="s">
        <v>78</v>
      </c>
      <c r="C75" s="85" t="s">
        <v>1</v>
      </c>
      <c r="D75" s="85" t="s">
        <v>1</v>
      </c>
      <c r="E75" s="85" t="s">
        <v>1</v>
      </c>
      <c r="F75" s="85" t="s">
        <v>1</v>
      </c>
      <c r="G75" s="85" t="s">
        <v>1</v>
      </c>
      <c r="H75" s="85" t="s">
        <v>1</v>
      </c>
      <c r="I75" s="85">
        <v>2</v>
      </c>
    </row>
    <row r="76" spans="1:9">
      <c r="A76" s="27" t="s">
        <v>146</v>
      </c>
      <c r="B76" s="30" t="s">
        <v>0</v>
      </c>
      <c r="C76" s="90" t="s">
        <v>1</v>
      </c>
      <c r="D76" s="90" t="s">
        <v>1</v>
      </c>
      <c r="E76" s="90" t="s">
        <v>1</v>
      </c>
      <c r="F76" s="90" t="s">
        <v>1</v>
      </c>
      <c r="G76" s="90" t="s">
        <v>1</v>
      </c>
      <c r="H76" s="90" t="s">
        <v>1</v>
      </c>
      <c r="I76" s="90">
        <v>0.67</v>
      </c>
    </row>
    <row r="77" spans="1:9">
      <c r="A77" s="27" t="s">
        <v>147</v>
      </c>
      <c r="B77" s="30" t="s">
        <v>118</v>
      </c>
      <c r="C77" s="85" t="s">
        <v>1</v>
      </c>
      <c r="D77" s="85" t="s">
        <v>1</v>
      </c>
      <c r="E77" s="85" t="s">
        <v>1</v>
      </c>
      <c r="F77" s="85" t="s">
        <v>1</v>
      </c>
      <c r="G77" s="85" t="s">
        <v>1</v>
      </c>
      <c r="H77" s="85" t="s">
        <v>1</v>
      </c>
      <c r="I77" s="85" t="s">
        <v>145</v>
      </c>
    </row>
    <row r="78" spans="1:9">
      <c r="A78" s="28" t="s">
        <v>148</v>
      </c>
      <c r="B78" s="31" t="s">
        <v>129</v>
      </c>
      <c r="C78" s="89" t="s">
        <v>1</v>
      </c>
      <c r="D78" s="89" t="s">
        <v>1</v>
      </c>
      <c r="E78" s="89" t="s">
        <v>1</v>
      </c>
      <c r="F78" s="89" t="s">
        <v>1</v>
      </c>
      <c r="G78" s="89" t="s">
        <v>1</v>
      </c>
      <c r="H78" s="89" t="s">
        <v>1</v>
      </c>
      <c r="I78" s="89">
        <v>2</v>
      </c>
    </row>
    <row r="80" spans="1:9">
      <c r="A80" s="25" t="s">
        <v>154</v>
      </c>
      <c r="B80" s="39" t="s">
        <v>28</v>
      </c>
      <c r="C80" s="36">
        <v>2013</v>
      </c>
      <c r="D80" s="36">
        <v>2014</v>
      </c>
      <c r="E80" s="36">
        <v>2015</v>
      </c>
      <c r="F80" s="36">
        <v>2016</v>
      </c>
      <c r="G80" s="36">
        <v>2017</v>
      </c>
      <c r="H80" s="36" t="s">
        <v>9</v>
      </c>
      <c r="I80" s="109">
        <v>2019</v>
      </c>
    </row>
    <row r="81" spans="1:10">
      <c r="A81" s="27" t="s">
        <v>155</v>
      </c>
      <c r="B81" s="30" t="s">
        <v>78</v>
      </c>
      <c r="C81" s="85">
        <v>6</v>
      </c>
      <c r="D81" s="85">
        <v>5</v>
      </c>
      <c r="E81" s="85">
        <v>5</v>
      </c>
      <c r="F81" s="85">
        <v>5</v>
      </c>
      <c r="G81" s="85">
        <v>5</v>
      </c>
      <c r="H81" s="85">
        <v>7</v>
      </c>
      <c r="I81" s="85">
        <v>7</v>
      </c>
    </row>
    <row r="82" spans="1:10">
      <c r="A82" s="28" t="s">
        <v>156</v>
      </c>
      <c r="B82" s="31" t="s">
        <v>129</v>
      </c>
      <c r="C82" s="89">
        <v>4</v>
      </c>
      <c r="D82" s="89">
        <v>6</v>
      </c>
      <c r="E82" s="89">
        <v>3</v>
      </c>
      <c r="F82" s="89">
        <v>7</v>
      </c>
      <c r="G82" s="89">
        <v>8</v>
      </c>
      <c r="H82" s="89">
        <v>6</v>
      </c>
      <c r="I82" s="89">
        <v>7</v>
      </c>
    </row>
    <row r="84" spans="1:10">
      <c r="A84" s="93" t="s">
        <v>157</v>
      </c>
      <c r="B84" s="39" t="s">
        <v>28</v>
      </c>
      <c r="C84" s="94">
        <v>2013</v>
      </c>
      <c r="D84" s="94">
        <v>2014</v>
      </c>
      <c r="E84" s="94">
        <v>2015</v>
      </c>
      <c r="F84" s="94">
        <v>2016</v>
      </c>
      <c r="G84" s="94">
        <v>2017</v>
      </c>
      <c r="H84" s="94" t="s">
        <v>9</v>
      </c>
      <c r="I84" s="94">
        <v>2019</v>
      </c>
    </row>
    <row r="85" spans="1:10">
      <c r="A85" s="95" t="s">
        <v>158</v>
      </c>
      <c r="B85" s="96" t="s">
        <v>118</v>
      </c>
      <c r="C85" s="89" t="s">
        <v>150</v>
      </c>
      <c r="D85" s="89" t="s">
        <v>150</v>
      </c>
      <c r="E85" s="89" t="s">
        <v>150</v>
      </c>
      <c r="F85" s="89" t="s">
        <v>150</v>
      </c>
      <c r="G85" s="89" t="s">
        <v>150</v>
      </c>
      <c r="H85" s="89" t="s">
        <v>145</v>
      </c>
      <c r="I85" s="89" t="s">
        <v>145</v>
      </c>
    </row>
    <row r="87" spans="1:10">
      <c r="A87" s="93" t="s">
        <v>159</v>
      </c>
      <c r="B87" s="39" t="s">
        <v>28</v>
      </c>
      <c r="C87" s="94">
        <v>2013</v>
      </c>
      <c r="D87" s="94">
        <v>2014</v>
      </c>
      <c r="E87" s="94">
        <v>2015</v>
      </c>
      <c r="F87" s="94">
        <v>2016</v>
      </c>
      <c r="G87" s="94">
        <v>2017</v>
      </c>
      <c r="H87" s="94" t="s">
        <v>9</v>
      </c>
      <c r="I87" s="94">
        <v>2019</v>
      </c>
    </row>
    <row r="88" spans="1:10">
      <c r="A88" s="95" t="s">
        <v>160</v>
      </c>
      <c r="B88" s="96" t="s">
        <v>118</v>
      </c>
      <c r="C88" s="89" t="s">
        <v>145</v>
      </c>
      <c r="D88" s="89" t="s">
        <v>145</v>
      </c>
      <c r="E88" s="89" t="s">
        <v>145</v>
      </c>
      <c r="F88" s="89" t="s">
        <v>145</v>
      </c>
      <c r="G88" s="89" t="s">
        <v>145</v>
      </c>
      <c r="H88" s="89" t="s">
        <v>145</v>
      </c>
      <c r="I88" s="89" t="s">
        <v>145</v>
      </c>
    </row>
    <row r="90" spans="1:10">
      <c r="A90" s="93" t="s">
        <v>161</v>
      </c>
      <c r="B90" s="39" t="s">
        <v>28</v>
      </c>
      <c r="C90" s="94">
        <v>2013</v>
      </c>
      <c r="D90" s="94">
        <v>2014</v>
      </c>
      <c r="E90" s="94">
        <v>2015</v>
      </c>
      <c r="F90" s="94">
        <v>2016</v>
      </c>
      <c r="G90" s="94">
        <v>2017</v>
      </c>
      <c r="H90" s="94" t="s">
        <v>9</v>
      </c>
      <c r="I90" s="94">
        <v>2019</v>
      </c>
    </row>
    <row r="91" spans="1:10">
      <c r="A91" s="95" t="s">
        <v>162</v>
      </c>
      <c r="B91" s="96" t="s">
        <v>79</v>
      </c>
      <c r="C91" s="97">
        <v>365.2</v>
      </c>
      <c r="D91" s="97">
        <v>365.2</v>
      </c>
      <c r="E91" s="97">
        <v>540</v>
      </c>
      <c r="F91" s="97">
        <v>540</v>
      </c>
      <c r="G91" s="97">
        <v>540</v>
      </c>
      <c r="H91" s="97">
        <v>590</v>
      </c>
      <c r="I91" s="97">
        <v>590</v>
      </c>
    </row>
    <row r="93" spans="1:10">
      <c r="A93" s="98"/>
      <c r="B93" s="99"/>
      <c r="C93" s="100"/>
      <c r="D93" s="100"/>
      <c r="E93" s="100"/>
      <c r="F93" s="100"/>
      <c r="G93" s="100"/>
      <c r="H93" s="100"/>
      <c r="I93" s="100"/>
      <c r="J93" s="101"/>
    </row>
    <row r="94" spans="1:10" ht="25.5" customHeight="1">
      <c r="A94" s="178"/>
      <c r="B94" s="179"/>
      <c r="C94" s="179"/>
      <c r="D94" s="179"/>
      <c r="E94" s="179"/>
      <c r="F94" s="179"/>
      <c r="G94" s="179"/>
      <c r="H94" s="179"/>
      <c r="I94" s="179"/>
      <c r="J94" s="179"/>
    </row>
    <row r="95" spans="1:10" ht="18" customHeight="1">
      <c r="A95" s="98"/>
      <c r="B95" s="99"/>
      <c r="C95" s="100"/>
      <c r="D95" s="100"/>
      <c r="E95" s="100"/>
      <c r="F95" s="100"/>
      <c r="G95" s="100"/>
      <c r="H95" s="100"/>
      <c r="I95" s="100"/>
      <c r="J95" s="101"/>
    </row>
  </sheetData>
  <mergeCells count="1">
    <mergeCell ref="A94:J94"/>
  </mergeCells>
  <pageMargins left="0.25" right="0.25" top="0.75" bottom="0.75" header="0.3" footer="0.3"/>
  <pageSetup paperSize="9" scale="51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E0FBBA16DE32F243A531172E7F38DCF5" ma:contentTypeVersion="0" ma:contentTypeDescription="Создание документа." ma:contentTypeScope="" ma:versionID="8dc994e94eebca157fc4bd22e1647ada">
  <xsd:schema xmlns:xsd="http://www.w3.org/2001/XMLSchema" xmlns:xs="http://www.w3.org/2001/XMLSchema" xmlns:p="http://schemas.microsoft.com/office/2006/metadata/properties" xmlns:ns2="2e6c4e6a-6d57-47d6-9288-076169c1f698" targetNamespace="http://schemas.microsoft.com/office/2006/metadata/properties" ma:root="true" ma:fieldsID="899b4d0d15f6c81608c1f8921f6e86bd" ns2:_="">
    <xsd:import namespace="2e6c4e6a-6d57-47d6-9288-076169c1f69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6c4e6a-6d57-47d6-9288-076169c1f69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9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A279FCB-5F55-4740-BB85-09B9D214F1DD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9884983B-CEE7-46DC-8DE6-4E71E73D8A1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71FDB9B-0F45-4739-BAB4-D26ED936B46A}">
  <ds:schemaRefs>
    <ds:schemaRef ds:uri="http://schemas.microsoft.com/office/2006/metadata/properties"/>
    <ds:schemaRef ds:uri="http://purl.org/dc/terms/"/>
    <ds:schemaRef ds:uri="http://www.w3.org/XML/1998/namespace"/>
    <ds:schemaRef ds:uri="http://schemas.microsoft.com/office/2006/documentManagement/types"/>
    <ds:schemaRef ds:uri="http://purl.org/dc/dcmitype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2e6c4e6a-6d57-47d6-9288-076169c1f698"/>
  </ds:schemaRefs>
</ds:datastoreItem>
</file>

<file path=customXml/itemProps4.xml><?xml version="1.0" encoding="utf-8"?>
<ds:datastoreItem xmlns:ds="http://schemas.openxmlformats.org/officeDocument/2006/customXml" ds:itemID="{7A566946-93EE-47A1-8911-AC4C875B31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6c4e6a-6d57-47d6-9288-076169c1f69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MENU</vt:lpstr>
      <vt:lpstr>ENVIRONMENT</vt:lpstr>
      <vt:lpstr>ENERGY EFFICIENCY</vt:lpstr>
      <vt:lpstr>SOCIAL</vt:lpstr>
      <vt:lpstr>GOVERNANCE</vt:lpstr>
      <vt:lpstr>ENVIRONMENT!Область_печати</vt:lpstr>
      <vt:lpstr>MENU!Область_печати</vt:lpstr>
      <vt:lpstr>SOCIAL!Область_печати</vt:lpstr>
    </vt:vector>
  </TitlesOfParts>
  <Company>ПАО "ГМК "Норильский никель"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AlekseenkoVV@nornik.ru</dc:creator>
  <cp:lastModifiedBy>Кудряшов Сергей Владимирович</cp:lastModifiedBy>
  <cp:lastPrinted>2017-09-27T14:53:33Z</cp:lastPrinted>
  <dcterms:created xsi:type="dcterms:W3CDTF">2016-12-15T13:22:24Z</dcterms:created>
  <dcterms:modified xsi:type="dcterms:W3CDTF">2020-09-08T08:54:32Z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0x010100E0FBBA16DE32F243A531172E7F38DCF5</vt:lpwstr>
  </property>
</Properties>
</file>